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backupFile="1"/>
  <bookViews>
    <workbookView xWindow="-105" yWindow="-105" windowWidth="19425" windowHeight="11505" tabRatio="791" activeTab="4"/>
  </bookViews>
  <sheets>
    <sheet name="bs-6-8" sheetId="1" r:id="rId1"/>
    <sheet name="plt 9-10" sheetId="6" r:id="rId2"/>
    <sheet name="cet-Conso 11-12" sheetId="4" r:id="rId3"/>
    <sheet name="cet-company13-14" sheetId="8" r:id="rId4"/>
    <sheet name="CF 15-16" sheetId="7" r:id="rId5"/>
  </sheets>
  <definedNames>
    <definedName name="_xlnm._FilterDatabase" localSheetId="0" hidden="1">'bs-6-8'!$A$8:$B$18</definedName>
    <definedName name="_xlnm.Print_Area" localSheetId="0">'bs-6-8'!$A$1:$J$87</definedName>
    <definedName name="_xlnm.Print_Area" localSheetId="3">'cet-company13-14'!$A$1:$Q$52</definedName>
    <definedName name="_xlnm.Print_Area" localSheetId="4">'CF 15-16'!$A$1:$J$105</definedName>
    <definedName name="_xlnm.Print_Area" localSheetId="1">'plt 9-10'!$A$1:$J$64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8"/>
  <c r="H42" i="7" l="1"/>
  <c r="H48" i="4" l="1"/>
  <c r="H49" s="1"/>
  <c r="J48"/>
  <c r="J49" s="1"/>
  <c r="H54"/>
  <c r="J54"/>
  <c r="D44" i="1"/>
  <c r="D82"/>
  <c r="D81"/>
  <c r="G44" i="8"/>
  <c r="I44"/>
  <c r="G45"/>
  <c r="I45"/>
  <c r="G50"/>
  <c r="I50"/>
  <c r="H14" i="1"/>
  <c r="D39" i="6" l="1"/>
  <c r="D23"/>
  <c r="D13"/>
  <c r="H13" i="1" l="1"/>
  <c r="H11"/>
  <c r="D54" i="6" l="1"/>
  <c r="D59" s="1"/>
  <c r="H81" i="1" l="1"/>
  <c r="H57"/>
  <c r="H29"/>
  <c r="Z47" i="4"/>
  <c r="H41" i="6" l="1"/>
  <c r="D41"/>
  <c r="N53" i="4" s="1"/>
  <c r="D56" i="1"/>
  <c r="D49"/>
  <c r="H44"/>
  <c r="H24"/>
  <c r="H22"/>
  <c r="H68" i="7"/>
  <c r="H13" l="1"/>
  <c r="M43" i="8" l="1"/>
  <c r="N47" i="4"/>
  <c r="Z52" l="1"/>
  <c r="P53" l="1"/>
  <c r="V53" s="1"/>
  <c r="D11" i="1" l="1"/>
  <c r="D25"/>
  <c r="D30" l="1"/>
  <c r="D15" l="1"/>
  <c r="D18"/>
  <c r="D52"/>
  <c r="H26" i="6" l="1"/>
  <c r="H19"/>
  <c r="H13"/>
  <c r="H9"/>
  <c r="H15" i="1"/>
  <c r="H30" l="1"/>
  <c r="H53" l="1"/>
  <c r="H83" l="1"/>
  <c r="F85" i="7"/>
  <c r="D85"/>
  <c r="J68"/>
  <c r="F68"/>
  <c r="D68"/>
  <c r="O50" i="8"/>
  <c r="K50"/>
  <c r="O44"/>
  <c r="O45" s="1"/>
  <c r="M44"/>
  <c r="M45" s="1"/>
  <c r="K44"/>
  <c r="K45" s="1"/>
  <c r="Q43"/>
  <c r="Q42"/>
  <c r="Q41"/>
  <c r="Q16"/>
  <c r="Q15"/>
  <c r="Q14"/>
  <c r="Q11"/>
  <c r="V47" i="4"/>
  <c r="X47" s="1"/>
  <c r="V46"/>
  <c r="V45"/>
  <c r="X45" s="1"/>
  <c r="AB45" s="1"/>
  <c r="Z48"/>
  <c r="Z49" s="1"/>
  <c r="X53"/>
  <c r="V52"/>
  <c r="V14"/>
  <c r="Z20"/>
  <c r="Z21" s="1"/>
  <c r="H20"/>
  <c r="H21" s="1"/>
  <c r="F20"/>
  <c r="Q44" i="8" l="1"/>
  <c r="Q45" s="1"/>
  <c r="J41" i="6"/>
  <c r="F41"/>
  <c r="J33"/>
  <c r="H33"/>
  <c r="F33"/>
  <c r="D33"/>
  <c r="D42" s="1"/>
  <c r="H20"/>
  <c r="D20"/>
  <c r="H14"/>
  <c r="D14"/>
  <c r="O24" i="8"/>
  <c r="K24"/>
  <c r="I24"/>
  <c r="G24"/>
  <c r="H91" i="7"/>
  <c r="D91"/>
  <c r="D25" i="6" l="1"/>
  <c r="D27" s="1"/>
  <c r="D55" s="1"/>
  <c r="D53" s="1"/>
  <c r="N52" i="4" s="1"/>
  <c r="H25" i="6"/>
  <c r="Z24" i="4"/>
  <c r="V25"/>
  <c r="V24"/>
  <c r="H26"/>
  <c r="H27" s="1"/>
  <c r="J42" s="1"/>
  <c r="J55" s="1"/>
  <c r="F26"/>
  <c r="X19"/>
  <c r="AB19" s="1"/>
  <c r="X18"/>
  <c r="AB18" s="1"/>
  <c r="X17"/>
  <c r="AB17" s="1"/>
  <c r="X14"/>
  <c r="V19"/>
  <c r="V18"/>
  <c r="V17"/>
  <c r="T20"/>
  <c r="T21" s="1"/>
  <c r="P26"/>
  <c r="V26" l="1"/>
  <c r="D43" i="6"/>
  <c r="X52" i="4"/>
  <c r="AB52" s="1"/>
  <c r="AB20"/>
  <c r="AB21" s="1"/>
  <c r="X20"/>
  <c r="X21" s="1"/>
  <c r="AB14"/>
  <c r="H42" i="6"/>
  <c r="M49" i="8" s="1"/>
  <c r="D22" i="6"/>
  <c r="J19"/>
  <c r="J20" s="1"/>
  <c r="F19"/>
  <c r="F20" s="1"/>
  <c r="J13"/>
  <c r="J14" s="1"/>
  <c r="F13"/>
  <c r="F14" s="1"/>
  <c r="F25" s="1"/>
  <c r="J81" i="1"/>
  <c r="F82"/>
  <c r="F81"/>
  <c r="J44"/>
  <c r="F51"/>
  <c r="J23"/>
  <c r="J30" s="1"/>
  <c r="F28"/>
  <c r="F26"/>
  <c r="F23"/>
  <c r="F30" s="1"/>
  <c r="F18"/>
  <c r="D63" i="6" l="1"/>
  <c r="J18" i="1"/>
  <c r="H18"/>
  <c r="X46" i="4" l="1"/>
  <c r="J10" i="7" l="1"/>
  <c r="H10"/>
  <c r="D10"/>
  <c r="F10"/>
  <c r="E24" i="8" l="1"/>
  <c r="O17"/>
  <c r="O18" s="1"/>
  <c r="O26" s="1"/>
  <c r="O38" s="1"/>
  <c r="O52" s="1"/>
  <c r="M17"/>
  <c r="M18" s="1"/>
  <c r="K17"/>
  <c r="K18" s="1"/>
  <c r="K26" s="1"/>
  <c r="K38" s="1"/>
  <c r="K52" s="1"/>
  <c r="I17"/>
  <c r="I18" s="1"/>
  <c r="G17"/>
  <c r="G18" s="1"/>
  <c r="G26" s="1"/>
  <c r="I38" s="1"/>
  <c r="I52" s="1"/>
  <c r="E17"/>
  <c r="Z26" i="4"/>
  <c r="Z27" s="1"/>
  <c r="T26"/>
  <c r="T27" s="1"/>
  <c r="R26"/>
  <c r="L26"/>
  <c r="J26"/>
  <c r="V20"/>
  <c r="V21" s="1"/>
  <c r="V27" s="1"/>
  <c r="R20"/>
  <c r="R21" s="1"/>
  <c r="P20"/>
  <c r="P21" s="1"/>
  <c r="P27" s="1"/>
  <c r="N20"/>
  <c r="N21" s="1"/>
  <c r="L20"/>
  <c r="L21" s="1"/>
  <c r="J20"/>
  <c r="J21" s="1"/>
  <c r="F21"/>
  <c r="F27" s="1"/>
  <c r="H42" s="1"/>
  <c r="H55" s="1"/>
  <c r="J27" l="1"/>
  <c r="R27"/>
  <c r="L27"/>
  <c r="L42" s="1"/>
  <c r="Q17" i="8"/>
  <c r="T42" i="4"/>
  <c r="E18" i="8"/>
  <c r="V42" i="4"/>
  <c r="Z42"/>
  <c r="R42"/>
  <c r="D31" i="1"/>
  <c r="E26" i="8" l="1"/>
  <c r="G38" s="1"/>
  <c r="G52" s="1"/>
  <c r="Q18"/>
  <c r="J85" i="7"/>
  <c r="Z54" i="4"/>
  <c r="Z55" s="1"/>
  <c r="T54"/>
  <c r="R54"/>
  <c r="L54"/>
  <c r="T48"/>
  <c r="T49" s="1"/>
  <c r="R48"/>
  <c r="R49" s="1"/>
  <c r="P48"/>
  <c r="P49" s="1"/>
  <c r="L48"/>
  <c r="L49" s="1"/>
  <c r="AB47"/>
  <c r="N48"/>
  <c r="N49" s="1"/>
  <c r="AB46"/>
  <c r="N25"/>
  <c r="X25" s="1"/>
  <c r="AB25" s="1"/>
  <c r="J61" i="1"/>
  <c r="J53"/>
  <c r="F61"/>
  <c r="F53"/>
  <c r="D83"/>
  <c r="D85" s="1"/>
  <c r="D53"/>
  <c r="H85"/>
  <c r="H31"/>
  <c r="H85" i="7"/>
  <c r="D61" i="1"/>
  <c r="H61"/>
  <c r="A58" i="6"/>
  <c r="P54" i="4" l="1"/>
  <c r="F42" i="6"/>
  <c r="P42" i="4"/>
  <c r="J42" i="6"/>
  <c r="M23" i="8"/>
  <c r="Q23" s="1"/>
  <c r="J63" i="1"/>
  <c r="L55" i="4"/>
  <c r="J31" i="1"/>
  <c r="J83"/>
  <c r="J85" s="1"/>
  <c r="Q49" i="8"/>
  <c r="H22" i="6"/>
  <c r="H63" i="1"/>
  <c r="H33"/>
  <c r="F83"/>
  <c r="F85" s="1"/>
  <c r="F63"/>
  <c r="R55" i="4"/>
  <c r="T55"/>
  <c r="AB48"/>
  <c r="AB49" s="1"/>
  <c r="X48"/>
  <c r="X49" s="1"/>
  <c r="V48"/>
  <c r="V49" s="1"/>
  <c r="H27" i="6"/>
  <c r="J25"/>
  <c r="J27" s="1"/>
  <c r="J55" s="1"/>
  <c r="J53" s="1"/>
  <c r="J22"/>
  <c r="F22"/>
  <c r="F27"/>
  <c r="F55" s="1"/>
  <c r="F53" s="1"/>
  <c r="D63" i="1"/>
  <c r="D87" s="1"/>
  <c r="D33"/>
  <c r="F31"/>
  <c r="F33" s="1"/>
  <c r="M48" i="8" l="1"/>
  <c r="H43" i="6"/>
  <c r="H58" s="1"/>
  <c r="H55"/>
  <c r="H53" s="1"/>
  <c r="F63"/>
  <c r="N24" i="4"/>
  <c r="H87" i="1"/>
  <c r="H88" s="1"/>
  <c r="H8" i="7"/>
  <c r="H37" s="1"/>
  <c r="H48" s="1"/>
  <c r="H50" s="1"/>
  <c r="H88" s="1"/>
  <c r="P55" i="4"/>
  <c r="D88" i="1"/>
  <c r="J8" i="7"/>
  <c r="J37" s="1"/>
  <c r="J48" s="1"/>
  <c r="J50" s="1"/>
  <c r="F8"/>
  <c r="AB53" i="4"/>
  <c r="AB54" s="1"/>
  <c r="V54"/>
  <c r="V55" s="1"/>
  <c r="J33" i="1"/>
  <c r="D8" i="7"/>
  <c r="D37" s="1"/>
  <c r="D48" s="1"/>
  <c r="J87" i="1"/>
  <c r="F87"/>
  <c r="H60" i="6"/>
  <c r="J43"/>
  <c r="F43"/>
  <c r="J58" l="1"/>
  <c r="J60" s="1"/>
  <c r="F37" i="7"/>
  <c r="F48" s="1"/>
  <c r="F50" s="1"/>
  <c r="F88" s="1"/>
  <c r="F90" s="1"/>
  <c r="F92" s="1"/>
  <c r="D58" i="6"/>
  <c r="M22" i="8"/>
  <c r="J63" i="6"/>
  <c r="J88" i="7"/>
  <c r="J90" s="1"/>
  <c r="J92" s="1"/>
  <c r="F58" i="6"/>
  <c r="F60" s="1"/>
  <c r="X24" i="4"/>
  <c r="M50" i="8"/>
  <c r="H90" i="7"/>
  <c r="D50" l="1"/>
  <c r="D88" s="1"/>
  <c r="D90" s="1"/>
  <c r="D92" s="1"/>
  <c r="N92" s="1"/>
  <c r="D60" i="6"/>
  <c r="N26" i="4"/>
  <c r="AB24"/>
  <c r="AB26" s="1"/>
  <c r="AB27" s="1"/>
  <c r="X26"/>
  <c r="Q48" i="8"/>
  <c r="Q50" s="1"/>
  <c r="H92" i="7"/>
  <c r="O92" s="1"/>
  <c r="M24" i="8"/>
  <c r="M26" s="1"/>
  <c r="M38" s="1"/>
  <c r="Q38" s="1"/>
  <c r="Q22"/>
  <c r="Q24" s="1"/>
  <c r="Q26" s="1"/>
  <c r="N54" i="4"/>
  <c r="M52" i="8" l="1"/>
  <c r="Q52"/>
  <c r="X27" i="4"/>
  <c r="X42" s="1"/>
  <c r="AB42" s="1"/>
  <c r="AB55" s="1"/>
  <c r="N27"/>
  <c r="X54"/>
  <c r="N42" l="1"/>
  <c r="N55" s="1"/>
  <c r="X55"/>
  <c r="H63" i="6"/>
</calcChain>
</file>

<file path=xl/sharedStrings.xml><?xml version="1.0" encoding="utf-8"?>
<sst xmlns="http://schemas.openxmlformats.org/spreadsheetml/2006/main" count="466" uniqueCount="247">
  <si>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</si>
  <si>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</si>
  <si>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</si>
  <si>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</si>
  <si>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</si>
  <si>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</si>
  <si>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</si>
  <si>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</si>
  <si>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</si>
  <si>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</si>
  <si>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</si>
  <si>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</si>
  <si>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งบกระแสเงินสด</t>
  </si>
  <si>
    <t>สินทรัพย์ไม่หมุนเวียน</t>
  </si>
  <si>
    <t>รวมสินทรัพย์ไม่หมุนเวียน</t>
  </si>
  <si>
    <t>ส่วนเกิน</t>
  </si>
  <si>
    <t>และชำระแล้ว</t>
  </si>
  <si>
    <t>มูลค่าหุ้น</t>
  </si>
  <si>
    <t>รวม</t>
  </si>
  <si>
    <t>หนี้สินไม่หมุนเวียน</t>
  </si>
  <si>
    <t>รวมหนี้สินไม่หมุนเวียน</t>
  </si>
  <si>
    <t>ยังไม่ได้จัดสรร</t>
  </si>
  <si>
    <t>ทุนเรือนหุ้น</t>
  </si>
  <si>
    <t>รายได้</t>
  </si>
  <si>
    <t>รวมรายได้</t>
  </si>
  <si>
    <t>ค่าใช้จ่าย</t>
  </si>
  <si>
    <t>รวมค่าใช้จ่าย</t>
  </si>
  <si>
    <t>กำไรสะสม</t>
  </si>
  <si>
    <t xml:space="preserve">กระแสเงินสดจากกิจกรรมดำเนินงาน </t>
  </si>
  <si>
    <t xml:space="preserve">กระแสเงินสดจากกิจกรรมลงทุน </t>
  </si>
  <si>
    <t xml:space="preserve">กระแสเงินสดจากกิจกรรมจัดหาเงิน </t>
  </si>
  <si>
    <t>ของบริษัทย่อย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</si>
  <si>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</si>
  <si>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</si>
  <si>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</si>
  <si>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</si>
  <si>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เงินลงทุนในบริษัทร่วม</t>
  </si>
  <si>
    <t>หนี้สินและส่วนของผู้ถือหุ้น</t>
  </si>
  <si>
    <t>ส่วนเกินมูลค่าหุ้น</t>
  </si>
  <si>
    <t>รายได้อื่น</t>
  </si>
  <si>
    <t>รวมส่วนของ</t>
  </si>
  <si>
    <t>ข้อมูลเพิ่มเติมประกอบงบกระแสเงินสด</t>
  </si>
  <si>
    <t>เงินลงทุนชั่วคราวในหลักทรัพย์เพื่อค้า</t>
  </si>
  <si>
    <t>ส่วนเกินของเงินลงทุน</t>
  </si>
  <si>
    <t>จากการซื้อเงินลงทุน</t>
  </si>
  <si>
    <t xml:space="preserve">   ยังไม่ได้จัดสรร </t>
  </si>
  <si>
    <t>เงินปันผลรับจากบริษัทย่อย</t>
  </si>
  <si>
    <t>เงินสดรับจากการเพิ่มทุนและการใช้สิทธิซื้อหุ้นสามัญ</t>
  </si>
  <si>
    <t>ค่าใช้จ่ายในการบริหาร</t>
  </si>
  <si>
    <t>สินค้าคงเหลือ</t>
  </si>
  <si>
    <t xml:space="preserve">เงินลงทุนในบริษัทย่อย </t>
  </si>
  <si>
    <t xml:space="preserve">ที่ดิน อาคารและอุปกรณ์ </t>
  </si>
  <si>
    <t>สินทรัพย์ไม่หมุนเวียนอื่น</t>
  </si>
  <si>
    <t>องค์ประกอบอื่นของส่วนของผู้ถือหุ้น</t>
  </si>
  <si>
    <t>งบกำไรขาดทุนเบ็ดเสร็จ</t>
  </si>
  <si>
    <t>ในบริษัทย่อยเพิ่มเติม</t>
  </si>
  <si>
    <t>ในราคาที่สูงกว่า</t>
  </si>
  <si>
    <t>ส่วนได้เสียที่</t>
  </si>
  <si>
    <t>มูลค่าตามบัญชี</t>
  </si>
  <si>
    <t>รวมส่วน</t>
  </si>
  <si>
    <t>ไม่มีอำนาจ</t>
  </si>
  <si>
    <t>ยังไม่ได้</t>
  </si>
  <si>
    <t>องค์ประกอบอื่น</t>
  </si>
  <si>
    <t>ควบคุม</t>
  </si>
  <si>
    <t>ตามกฎหมาย</t>
  </si>
  <si>
    <t>จัดสรร</t>
  </si>
  <si>
    <t>งบการเงิน</t>
  </si>
  <si>
    <t xml:space="preserve"> ณ วันที่ซื้อ</t>
  </si>
  <si>
    <t>ของส่วนของผู้ถือหุ้น</t>
  </si>
  <si>
    <t>ผู้ถือหุ้น</t>
  </si>
  <si>
    <t>1)  รายการกิจกรรมดำเนินงานซึ่งไม่เกี่ยวข้องกับกระแสเงินสด</t>
  </si>
  <si>
    <t>เงินชดเชยค่าประกันความเสียหาย</t>
  </si>
  <si>
    <t>กำไรขาดทุนเบ็ดเสร็จอื่น</t>
  </si>
  <si>
    <t>31 ธันวาคม</t>
  </si>
  <si>
    <t>ต้นทุนทางการเงิน</t>
  </si>
  <si>
    <t>ค่าตัดจำหน่าย</t>
  </si>
  <si>
    <t>ขาดทุนจากการตัดจำหน่ายอุปกรณ์</t>
  </si>
  <si>
    <t xml:space="preserve">   เงินลงทุนชั่วคราวในหลักทรัพย์เพื่อค้า</t>
  </si>
  <si>
    <t>การเปลี่ยนแปลงในสินทรัพย์และหนี้สินดำเนินงาน</t>
  </si>
  <si>
    <t>ดอกเบี้ยจ่าย</t>
  </si>
  <si>
    <t>เงินสดและรายการเทียบเท่าเงินสด ณ วันที่ 1 มกราคม</t>
  </si>
  <si>
    <t xml:space="preserve">     กำไรหรือขาดทุน</t>
  </si>
  <si>
    <t xml:space="preserve">     กำไรขาดทุนเบ็ดเสร็จอื่น</t>
  </si>
  <si>
    <t xml:space="preserve">   ที่ถึงกำหนดชำระภายในหนึ่งปี </t>
  </si>
  <si>
    <t>ส่วนของเงินกู้ยืมระยะยาว</t>
  </si>
  <si>
    <t>-</t>
  </si>
  <si>
    <t>กำไรก่อนภาษีเงินได้</t>
  </si>
  <si>
    <t>การแบ่งปันกำไร</t>
  </si>
  <si>
    <t xml:space="preserve">     ส่วนที่เป็นของส่วนได้เสียที่ไม่มีอำนาจควบคุม</t>
  </si>
  <si>
    <t>รายการจากการจ่ายโดยใช้หุ้นเป็นเกณฑ์</t>
  </si>
  <si>
    <t xml:space="preserve">      ทุนจดทะเบียน</t>
  </si>
  <si>
    <t>รายได้จากการขายและให้บริการ</t>
  </si>
  <si>
    <t>ต้นทุนขายและให้บริการ</t>
  </si>
  <si>
    <t>เงินกู้ยืมระยะยาว</t>
  </si>
  <si>
    <t xml:space="preserve">   จัดสรรแล้ว</t>
  </si>
  <si>
    <t xml:space="preserve">        ภาระผลประโยชน์พนักงานเปลี่ยนแปลงเพิ่มขึ้น</t>
  </si>
  <si>
    <t>ส่วนได้เสียที่ไม่มีอำนาจควบคุม</t>
  </si>
  <si>
    <t xml:space="preserve">          เงินปันผล</t>
  </si>
  <si>
    <t xml:space="preserve">-        </t>
  </si>
  <si>
    <t xml:space="preserve">     ส่วนที่เป็นของบริษัทใหญ่</t>
  </si>
  <si>
    <t>(บาท)</t>
  </si>
  <si>
    <t>สำหรับปีสิ้นสุดวันที่ 
31 ธันวาคม</t>
  </si>
  <si>
    <t>กำไรสำหรับปี</t>
  </si>
  <si>
    <t>กำไรขาดทุนเบ็ดเสร็จสำหรับปี</t>
  </si>
  <si>
    <t>รวมกำไรขาดทุนเบ็ดเสร็จสำหรับปี</t>
  </si>
  <si>
    <t>บริษัท เคซีอี อีเลคโทรนิคส์ จำกัด (มหาชน) และบริษัทย่อย</t>
  </si>
  <si>
    <t>ค่าความนิยม</t>
  </si>
  <si>
    <t>กำไรเบ็ดเสร็จรวมสำหรับปี</t>
  </si>
  <si>
    <t>เงินสดและรายการเทียบเท่าเงินสด ณ วันที่ 31 ธันวาคม</t>
  </si>
  <si>
    <t>การแบ่งปันกำไรเบ็ดเสร็จรวม</t>
  </si>
  <si>
    <t xml:space="preserve">      ทุนสำรองตามกฎหมาย </t>
  </si>
  <si>
    <t>รวมส่วนของบริษัทใหญ่</t>
  </si>
  <si>
    <t xml:space="preserve">      ทุนที่ออกและชำระแล้ว</t>
  </si>
  <si>
    <t>กลับรายการส่วนได้เสียที่ไม่มีอำนาจควบคุม</t>
  </si>
  <si>
    <t xml:space="preserve">   จากการจำหน่ายบริษัทย่อย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</si>
  <si>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</si>
  <si>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</si>
  <si>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>เงินสดรับจากหนี้สินตามสัญญาเช่าซื้อและเช่าการเงิน</t>
  </si>
  <si>
    <t>เงินปันผลรับจากบริษัทร่วม</t>
  </si>
  <si>
    <t>เงินสดรับจากการขายเงินลงทุนในบริษัทย่อย</t>
  </si>
  <si>
    <t xml:space="preserve">   โดยอำนาจควบคุมไม่เปลี่ยนแปลง</t>
  </si>
  <si>
    <t>การเปลี่ยนแปลง</t>
  </si>
  <si>
    <t>สัดส่วนการถือหุ้น</t>
  </si>
  <si>
    <t>ในบริษัทย่อย</t>
  </si>
  <si>
    <t>ส่วนแบ่งกำไรจากเงินลงทุนในบริษัทร่วม</t>
  </si>
  <si>
    <t>กำไรที่รับรู้ของส่วนได้เสียซึ่งถือก่อนการรวมธุรกิจใหม่</t>
  </si>
  <si>
    <t>ขาดทุนจากการตัดจำหน่ายสินค้าคงเหลือ</t>
  </si>
  <si>
    <t>รวมรายการกับผู้ถือหุ้นที่บันทึกโดยตรงเข้าส่วนของผู้ถือหุ้น</t>
  </si>
  <si>
    <t>อสังหาริมทรัพย์เพื่อการลงทุน</t>
  </si>
  <si>
    <t>ขาดทุนที่ยังไม่เกิดขึ้นจากการปรับมูลค่า</t>
  </si>
  <si>
    <t>ประมาณการหนี้สินไม่หมุนเวียน</t>
  </si>
  <si>
    <t xml:space="preserve">   สำหรับผลประโยชน์พนักงาน</t>
  </si>
  <si>
    <t>ต้นทุนในการจัดจำหน่าย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</si>
  <si>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</si>
  <si>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</si>
  <si>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รายการที่จะไม่ถูกจัดประเภทใหม่ไว้ในกำไรหรือขาดทุนในภายหลัง</t>
  </si>
  <si>
    <t>ทุนสำรอง</t>
  </si>
  <si>
    <t>การแปลงค่า</t>
  </si>
  <si>
    <t>ของบริษัทใหญ่</t>
  </si>
  <si>
    <t>ส่วนของ</t>
  </si>
  <si>
    <t>รวมรายการที่จะไม่ถูกจัดประเภทใหม่ไว้ใน</t>
  </si>
  <si>
    <t xml:space="preserve">        กำไรหรือขาดทุนในภายหลัง</t>
  </si>
  <si>
    <t>ปรับรายการที่กระทบกำไรเป็นเงินสดรับ (จ่าย)</t>
  </si>
  <si>
    <t>สำรองผลประโยชน์ของพนักงาน</t>
  </si>
  <si>
    <t xml:space="preserve">ลูกหนี้การค้าและลูกหนี้หมุนเวียนอื่น 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</si>
  <si>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</si>
  <si>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</si>
  <si>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(กลับรายการ) ขาดทุนจากการปรับมูลค่าสินค้า</t>
  </si>
  <si>
    <t xml:space="preserve">กระแสเงินสดสุทธิได้มาจากการดำเนินงาน </t>
  </si>
  <si>
    <t>ภาษีเงินได้จ่ายออก</t>
  </si>
  <si>
    <t xml:space="preserve">กระแสเงินสดสุทธิได้มาจากกิจกรรมดำเนินงาน </t>
  </si>
  <si>
    <t>กระแสเงินสดสุทธิได้มาจาก (ใช้ไปใน) กิจกรรมลงทุน</t>
  </si>
  <si>
    <t xml:space="preserve">   ก่อนผลกระทบของอัตราแลกเปลี่ยน</t>
  </si>
  <si>
    <t>สินทรัพย์ไม่มีตัวตน</t>
  </si>
  <si>
    <t>เงินสดรับจากการขายเครื่องจักรและอุปกรณ์</t>
  </si>
  <si>
    <t xml:space="preserve">       ที่กำหนดไว้</t>
  </si>
  <si>
    <t>ภาษีเงินได้ของรายการที่จะไม่ถูกจัดประเภทใหม่</t>
  </si>
  <si>
    <t>ค่าเสื่อมราคาของอาคารและอุปกรณ์</t>
  </si>
  <si>
    <t>เงินสดรับจากการเพิ่มทุนของบริษัทย่อย</t>
  </si>
  <si>
    <t>ผลกระทบของอัตราแลกเปลี่ยนของเงินตราต่างประเทศสิ้นปี</t>
  </si>
  <si>
    <t>ผลประโยชน์พนักงานจ่ายออก</t>
  </si>
  <si>
    <t>รวมรายการที่อาจถูกจัดประเภทใหม่ไว้ใน</t>
  </si>
  <si>
    <t>รายการกับผู้ถือหุ้นที่บันทึกโดยตรงเข้าส่วนของผู้ถือหุ้น</t>
  </si>
  <si>
    <t>ขาดทุน (กำไร) จากการจำหน่ายเครื่องจักรและอุปกรณ์</t>
  </si>
  <si>
    <t>เงินสดจ่ายในการซื้อที่ดิน อาคารและอุปกรณ์</t>
  </si>
  <si>
    <t>จ่ายเงินปันผล</t>
  </si>
  <si>
    <t>เงินสดจ่ายในการซื้อสินทรัพย์ไม่มีตัวตน</t>
  </si>
  <si>
    <t xml:space="preserve">       กำไรหรือขาดทุนในภายหลัง</t>
  </si>
  <si>
    <t xml:space="preserve">       ไว้ในกำไรหรือขาดทุนในภายหลัง</t>
  </si>
  <si>
    <t>องค์ประกอบอื่นของ</t>
  </si>
  <si>
    <t>สินทรัพย์ต้นทุนของสัญญา</t>
  </si>
  <si>
    <t>1)     ลูกหนี้หมุนเวียนอื่นจากการขายเครื่องจักรและอุปกรณ์</t>
  </si>
  <si>
    <t>2)     ทรัสต์รีซีทจากการซื้อเครื่องจักรและอุปกรณ์</t>
  </si>
  <si>
    <t>สินทรัพย์สิทธิการใช้</t>
  </si>
  <si>
    <t>ภาษีเงินได้นิติบุคคลค้างจ่าย</t>
  </si>
  <si>
    <t>หนี้สินทางการเงินหมุนเวียนอื่น</t>
  </si>
  <si>
    <t>สินทรัพย์ทางการเงินหมุนเวียนอื่น</t>
  </si>
  <si>
    <t xml:space="preserve">หนี้สินตามสัญญาเช่า </t>
  </si>
  <si>
    <t>ใบสำคัญแสดงสิทธิที่จะซื้อหุ้น</t>
  </si>
  <si>
    <t>กำไรจากกิจกรรมดำเนินงาน</t>
  </si>
  <si>
    <t xml:space="preserve">          เพิ่มหุ้นสามัญ</t>
  </si>
  <si>
    <t xml:space="preserve">          การจ่ายโดยใช้หุ้นเป็นเกณฑ์</t>
  </si>
  <si>
    <t>ใบสำคัญ</t>
  </si>
  <si>
    <t>แสดงสิทธิ</t>
  </si>
  <si>
    <t>ที่จะซื้อหุ้น</t>
  </si>
  <si>
    <t xml:space="preserve">         เพิ่มหุ้นสามัญ</t>
  </si>
  <si>
    <t xml:space="preserve">         การจ่ายโดยใช้หุ้นเป็นเกณฑ์</t>
  </si>
  <si>
    <t>ส่วนแบ่งกำไรของบริษัทร่วมที่ใช้วิธีส่วนได้เสีย (สุทธิจากภาษี)</t>
  </si>
  <si>
    <t>เงินสดจ่ายชำระหนี้สินตามสัญญาเช่า</t>
  </si>
  <si>
    <t xml:space="preserve">         เงินปันผล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</si>
  <si>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</si>
  <si>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</si>
  <si>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ค่าตัดจำหน่ายสินทรัพย์ต้นทุนของสัญญา</t>
  </si>
  <si>
    <t>กำไรจากการปรับมูลค่ายุติธรรมของหน่วยลงทุน</t>
  </si>
  <si>
    <t>เงินสดจ่ายเพื่อซื้อหน่วยลงทุน</t>
  </si>
  <si>
    <t>ส่วนของหนี้สินตามสัญญาเช่า</t>
  </si>
  <si>
    <t xml:space="preserve">    เงินลงทุนที่ได้รับจากผู้ถือหุ้น และการจัดสรรส่วนทุนให้ผู้ถือหุ้น</t>
  </si>
  <si>
    <t xml:space="preserve">    รวมเงินลงทุนที่ได้รับจากผู้ถือหุ้น และการจัดสรรส่วนทุนให้ผู้ถือหุ้น</t>
  </si>
  <si>
    <t>เงินสดรับจากการจำหน่ายหน่วยลงทุน</t>
  </si>
  <si>
    <t xml:space="preserve">    อสังหาริมทรัพย์เพื่อการลงทุน และสินทรัพย์สิทธิการใช้</t>
  </si>
  <si>
    <t>ขาดทุนจากอัตราแลกเปลี่ยนและการเปลี่ยนแปลง</t>
  </si>
  <si>
    <t xml:space="preserve">   ในมูลค่ายุติธรรมของตราสารอนุพันธ์ที่ยังไม่เกิดขึ้นจริง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</si>
  <si>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</si>
  <si>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</si>
  <si>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ค่าใช้จ่ายภาษีเงินได้</t>
  </si>
  <si>
    <t>กลับรายการผลขาดทุนด้านเครดิตที่คาดว่าจะเกิดขึ้น</t>
  </si>
  <si>
    <t>เงินกู้ยืมระยะสั้นจากสถาบันการเงิน</t>
  </si>
  <si>
    <t>เงินสดและรายการเทียบเท่าเงินสดเพิ่มขึ้น (ลดลง) สุทธิ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</si>
  <si>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</si>
  <si>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</si>
  <si>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</si>
  <si>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2566</t>
  </si>
  <si>
    <t>ทุนที่ออก</t>
  </si>
  <si>
    <t xml:space="preserve">   ที่จัดประเภทเป็นสินทรัพย์ที่ถือไว้เพื่อขาย</t>
  </si>
  <si>
    <t>หนี้สินที่เกิดจากสัญญา - หมุนเวียน</t>
  </si>
  <si>
    <t>17, 18</t>
  </si>
  <si>
    <t>3)     เจ้าหนี้หมุนเวียนอื่นจากการซื้อเครื่องจักรและอุปกรณ์</t>
  </si>
  <si>
    <t>5)     ต้นทุนการกู้ยืมที่เกี่ยวข้องกับการได้มาของสินทรัพย์</t>
  </si>
  <si>
    <t>ขาดทุนจากการจำหน่ายเงินลงทุนในหลักทรัพย์</t>
  </si>
  <si>
    <t>กระแสเงินสดสุทธิใช้ไปในกิจกรรมจัดหาเงิน</t>
  </si>
  <si>
    <t>2567</t>
  </si>
  <si>
    <t>งบฐานะการเงิน</t>
  </si>
  <si>
    <t>สำหรับปีสิ้นสุดวันที่ 31 ธันวาคม 2567</t>
  </si>
  <si>
    <t>ยอดคงเหลือ ณ วันที่ 1 มกราคม 2567</t>
  </si>
  <si>
    <t>ยอดคงเหลือ ณ วันที่ 31 ธันวาคม 2567</t>
  </si>
  <si>
    <t>งบการเปลี่ยนแปลงส่วนของผู้ถือหุ้น</t>
  </si>
  <si>
    <t>เงินกู้ยืมระยะสั้นจากกิจการที่เกี่ยวข้องกัน</t>
  </si>
  <si>
    <t>ขาดทุนจากการวัดมูลค่าใหม่ของผลประโยชน์พนักงาน</t>
  </si>
  <si>
    <t xml:space="preserve">    การจัดสรรส่วนทุนให้ผู้ถือหุ้น</t>
  </si>
  <si>
    <t xml:space="preserve">    รวมการจัดสรรส่วนทุนให้ผู้ถือหุ้น</t>
  </si>
  <si>
    <t>(กลับรายการ) ผลขาดทุนจากการด้อยค่าของ</t>
  </si>
  <si>
    <t xml:space="preserve">    เครื่องจักรและอุปกรณ์โรงงาน</t>
  </si>
  <si>
    <t>เงินกู้ยืมระยะสั้นจากสถาบันการเงินลดลง</t>
  </si>
  <si>
    <t xml:space="preserve">           เพิ่มขึ้น (ลดลง) สุทธิ</t>
  </si>
  <si>
    <t>4)     สินทรัพย์สิทธิการใช้เพิ่มขึ้นสุทธิ</t>
  </si>
  <si>
    <t>เงินให้กู้ยืมระยะสั้นแก่กิจการที่เกี่ยวข้องกัน</t>
  </si>
  <si>
    <t>ขาดทุนเบ็ดเสร็จอื่นสำหรับปี - สุทธิจากภาษีเงินได้</t>
  </si>
  <si>
    <t xml:space="preserve">     เงินลงทุนที่ได้รับจากผู้ถือหุ้น และการจัดสรรส่วนทุนให้ผู้ถือหุ้นของบริษัทใหญ่</t>
  </si>
  <si>
    <t xml:space="preserve">     รวมเงินลงทุนที่ได้รับจากผู้ถือหุ้น และการจัดสรรส่วนทุนให้ผู้ถือหุ้นของบริษัทใหญ่</t>
  </si>
  <si>
    <t xml:space="preserve">     การจัดสรรส่วนทุนให้ผู้ถือหุ้นของบริษัทใหญ่</t>
  </si>
  <si>
    <t xml:space="preserve">     รวมการจัดสรรส่วนทุนให้ผู้ถือหุ้นของบริษัทใหญ่</t>
  </si>
  <si>
    <t>เงินสดจ่ายสุทธิจากการซื้อบริษัทย่อย</t>
  </si>
  <si>
    <t>เงินให้กู้ยืมระยะสั้นแก่กิจการที่เกี่ยวข้องกัน - สุทธิ</t>
  </si>
  <si>
    <t>เงินกู้ยืมระยะสั้นจากกิจการที่เกี่ยวข้องกัน - สุทธิ</t>
  </si>
  <si>
    <t xml:space="preserve">           (เพิ่มขึ้น) ลดลง สุทธิ</t>
  </si>
  <si>
    <t>5, 7</t>
  </si>
  <si>
    <t>16, 23</t>
  </si>
</sst>
</file>

<file path=xl/styles.xml><?xml version="1.0" encoding="utf-8"?>
<styleSheet xmlns="http://schemas.openxmlformats.org/spreadsheetml/2006/main">
  <numFmts count="1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0.0"/>
    <numFmt numFmtId="169" formatCode="_(* #,##0.00_);_(* \(#,##0.00\);_(* &quot;-&quot;_);_(@_)"/>
    <numFmt numFmtId="170" formatCode="_-* #,##0_-;\-* #,##0_-;_-* &quot;-&quot;??_-;_-@_-"/>
    <numFmt numFmtId="171" formatCode="#,##0\ ;\(#,##0\)"/>
    <numFmt numFmtId="172" formatCode="_(* #,##0.00000_);_(* \(#,##0.00000\);_(* &quot;-&quot;?????_);_(@_)"/>
    <numFmt numFmtId="173" formatCode="_(* #,##0_);_(* \(#,##0\);_(* &quot;-&quot;?????_);_(@_)"/>
    <numFmt numFmtId="174" formatCode="#,##0.00;[Red]\(#,##0.00\)"/>
  </numFmts>
  <fonts count="38">
    <font>
      <sz val="14"/>
      <name val="CordiaUPC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Times New Roman"/>
      <family val="1"/>
    </font>
    <font>
      <sz val="8"/>
      <name val="CordiaUPC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12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2"/>
      <name val="Angsana New"/>
      <family val="1"/>
    </font>
    <font>
      <i/>
      <sz val="12"/>
      <name val="Angsana New"/>
      <family val="1"/>
    </font>
    <font>
      <b/>
      <i/>
      <sz val="12"/>
      <name val="Angsana New"/>
      <family val="1"/>
    </font>
    <font>
      <b/>
      <sz val="12"/>
      <name val="Angsana New"/>
      <family val="1"/>
    </font>
    <font>
      <sz val="14"/>
      <name val="CordiaUPC"/>
      <family val="2"/>
    </font>
    <font>
      <sz val="13"/>
      <name val="Angsana New"/>
      <family val="1"/>
    </font>
    <font>
      <b/>
      <sz val="13"/>
      <name val="Angsana New"/>
      <family val="1"/>
    </font>
    <font>
      <i/>
      <sz val="13"/>
      <name val="Angsana New"/>
      <family val="1"/>
    </font>
    <font>
      <u/>
      <sz val="13"/>
      <name val="Angsana New"/>
      <family val="1"/>
    </font>
    <font>
      <b/>
      <i/>
      <sz val="13"/>
      <name val="Angsana New"/>
      <family val="1"/>
    </font>
    <font>
      <b/>
      <u/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Cordia New"/>
      <family val="2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name val="Courier"/>
      <family val="3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9">
    <xf numFmtId="0" fontId="0" fillId="0" borderId="0"/>
    <xf numFmtId="0" fontId="36" fillId="2" borderId="6" applyNumberFormat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31" fillId="0" borderId="0" applyFont="0" applyFill="0" applyBorder="0" applyAlignment="0" applyProtection="0"/>
    <xf numFmtId="167" fontId="33" fillId="0" borderId="0" applyFont="0" applyFill="0" applyBorder="0" applyAlignment="0" applyProtection="0"/>
    <xf numFmtId="174" fontId="33" fillId="0" borderId="0" applyFont="0" applyFill="0" applyBorder="0" applyAlignment="0" applyProtection="0"/>
    <xf numFmtId="165" fontId="35" fillId="0" borderId="0" applyFont="0" applyFill="0" applyBorder="0" applyAlignment="0" applyProtection="0"/>
    <xf numFmtId="0" fontId="31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1" fillId="0" borderId="0"/>
    <xf numFmtId="0" fontId="31" fillId="0" borderId="0"/>
    <xf numFmtId="165" fontId="34" fillId="0" borderId="0"/>
    <xf numFmtId="0" fontId="20" fillId="0" borderId="0"/>
    <xf numFmtId="0" fontId="35" fillId="0" borderId="0"/>
    <xf numFmtId="0" fontId="29" fillId="0" borderId="0"/>
    <xf numFmtId="0" fontId="31" fillId="0" borderId="0"/>
    <xf numFmtId="0" fontId="37" fillId="0" borderId="0"/>
    <xf numFmtId="0" fontId="29" fillId="0" borderId="0"/>
    <xf numFmtId="174" fontId="32" fillId="0" borderId="0"/>
    <xf numFmtId="0" fontId="32" fillId="0" borderId="0"/>
    <xf numFmtId="167" fontId="32" fillId="0" borderId="0"/>
    <xf numFmtId="0" fontId="29" fillId="0" borderId="0"/>
    <xf numFmtId="174" fontId="32" fillId="0" borderId="0"/>
    <xf numFmtId="0" fontId="37" fillId="0" borderId="0"/>
    <xf numFmtId="0" fontId="35" fillId="0" borderId="0"/>
    <xf numFmtId="0" fontId="2" fillId="0" borderId="0"/>
    <xf numFmtId="0" fontId="2" fillId="0" borderId="0">
      <alignment vertical="center"/>
    </xf>
    <xf numFmtId="9" fontId="3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0" fillId="0" borderId="0">
      <alignment horizontal="center" vertical="top"/>
    </xf>
  </cellStyleXfs>
  <cellXfs count="424">
    <xf numFmtId="0" fontId="0" fillId="0" borderId="0" xfId="0"/>
    <xf numFmtId="38" fontId="6" fillId="0" borderId="0" xfId="0" applyNumberFormat="1" applyFont="1" applyFill="1" applyAlignment="1">
      <alignment horizontal="left"/>
    </xf>
    <xf numFmtId="37" fontId="6" fillId="0" borderId="0" xfId="0" applyNumberFormat="1" applyFont="1" applyFill="1" applyAlignment="1">
      <alignment horizontal="right"/>
    </xf>
    <xf numFmtId="38" fontId="6" fillId="0" borderId="0" xfId="0" applyNumberFormat="1" applyFont="1" applyFill="1" applyAlignment="1">
      <alignment horizontal="justify"/>
    </xf>
    <xf numFmtId="38" fontId="6" fillId="0" borderId="0" xfId="0" applyNumberFormat="1" applyFont="1" applyFill="1" applyAlignment="1"/>
    <xf numFmtId="37" fontId="6" fillId="0" borderId="0" xfId="0" applyNumberFormat="1" applyFont="1" applyFill="1" applyBorder="1" applyAlignment="1"/>
    <xf numFmtId="38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/>
    <xf numFmtId="0" fontId="5" fillId="0" borderId="0" xfId="35" applyFont="1" applyFill="1" applyAlignment="1">
      <alignment horizontal="left"/>
    </xf>
    <xf numFmtId="38" fontId="8" fillId="0" borderId="0" xfId="0" applyNumberFormat="1" applyFont="1" applyFill="1" applyAlignment="1">
      <alignment horizontal="center"/>
    </xf>
    <xf numFmtId="38" fontId="6" fillId="0" borderId="0" xfId="0" applyNumberFormat="1" applyFont="1" applyFill="1" applyBorder="1" applyAlignment="1"/>
    <xf numFmtId="0" fontId="6" fillId="0" borderId="0" xfId="35" applyFont="1" applyFill="1" applyAlignment="1"/>
    <xf numFmtId="0" fontId="8" fillId="0" borderId="0" xfId="35" applyFont="1" applyFill="1" applyAlignment="1">
      <alignment horizontal="center"/>
    </xf>
    <xf numFmtId="41" fontId="6" fillId="0" borderId="0" xfId="34" applyNumberFormat="1" applyFont="1" applyFill="1" applyAlignment="1"/>
    <xf numFmtId="41" fontId="6" fillId="0" borderId="0" xfId="0" applyNumberFormat="1" applyFont="1" applyFill="1" applyBorder="1" applyAlignment="1"/>
    <xf numFmtId="41" fontId="6" fillId="0" borderId="0" xfId="0" applyNumberFormat="1" applyFont="1" applyFill="1" applyAlignment="1"/>
    <xf numFmtId="38" fontId="8" fillId="0" borderId="0" xfId="0" applyNumberFormat="1" applyFont="1" applyFill="1" applyBorder="1" applyAlignment="1">
      <alignment horizontal="center"/>
    </xf>
    <xf numFmtId="41" fontId="6" fillId="0" borderId="0" xfId="0" applyNumberFormat="1" applyFont="1" applyFill="1" applyBorder="1" applyAlignment="1">
      <alignment horizontal="right"/>
    </xf>
    <xf numFmtId="0" fontId="6" fillId="0" borderId="0" xfId="35" applyFont="1" applyFill="1" applyAlignment="1">
      <alignment horizontal="left"/>
    </xf>
    <xf numFmtId="0" fontId="5" fillId="0" borderId="0" xfId="35" applyFont="1" applyFill="1" applyAlignment="1">
      <alignment horizontal="justify"/>
    </xf>
    <xf numFmtId="41" fontId="6" fillId="0" borderId="0" xfId="0" applyNumberFormat="1" applyFont="1" applyFill="1" applyAlignment="1">
      <alignment horizontal="center"/>
    </xf>
    <xf numFmtId="41" fontId="6" fillId="0" borderId="0" xfId="34" applyNumberFormat="1" applyFont="1" applyFill="1" applyAlignment="1">
      <alignment horizontal="center"/>
    </xf>
    <xf numFmtId="41" fontId="6" fillId="0" borderId="0" xfId="0" applyNumberFormat="1" applyFont="1" applyFill="1" applyAlignment="1">
      <alignment horizontal="right"/>
    </xf>
    <xf numFmtId="41" fontId="6" fillId="0" borderId="0" xfId="0" applyNumberFormat="1" applyFont="1" applyFill="1" applyBorder="1" applyAlignment="1">
      <alignment horizontal="center"/>
    </xf>
    <xf numFmtId="38" fontId="6" fillId="0" borderId="0" xfId="0" applyNumberFormat="1" applyFont="1" applyFill="1" applyBorder="1" applyAlignment="1">
      <alignment horizontal="justify"/>
    </xf>
    <xf numFmtId="37" fontId="6" fillId="0" borderId="0" xfId="0" applyNumberFormat="1" applyFont="1" applyFill="1" applyAlignment="1"/>
    <xf numFmtId="37" fontId="6" fillId="0" borderId="0" xfId="0" applyNumberFormat="1" applyFont="1" applyFill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41" fontId="6" fillId="0" borderId="0" xfId="34" applyNumberFormat="1" applyFont="1" applyFill="1" applyAlignment="1">
      <alignment horizontal="right"/>
    </xf>
    <xf numFmtId="41" fontId="6" fillId="0" borderId="0" xfId="14" applyNumberFormat="1" applyFont="1" applyFill="1" applyAlignment="1"/>
    <xf numFmtId="41" fontId="6" fillId="0" borderId="0" xfId="16" applyNumberFormat="1" applyFont="1" applyFill="1" applyAlignment="1"/>
    <xf numFmtId="0" fontId="6" fillId="0" borderId="0" xfId="35" applyFont="1" applyFill="1" applyAlignment="1">
      <alignment horizontal="justify"/>
    </xf>
    <xf numFmtId="37" fontId="6" fillId="0" borderId="0" xfId="34" applyNumberFormat="1" applyFont="1" applyFill="1" applyBorder="1" applyAlignment="1"/>
    <xf numFmtId="37" fontId="6" fillId="0" borderId="0" xfId="16" applyNumberFormat="1" applyFont="1" applyFill="1" applyAlignment="1"/>
    <xf numFmtId="37" fontId="6" fillId="0" borderId="0" xfId="35" applyNumberFormat="1" applyFont="1" applyFill="1" applyAlignment="1"/>
    <xf numFmtId="37" fontId="6" fillId="0" borderId="0" xfId="0" applyNumberFormat="1" applyFont="1" applyFill="1" applyBorder="1" applyAlignment="1">
      <alignment horizontal="right"/>
    </xf>
    <xf numFmtId="41" fontId="6" fillId="0" borderId="0" xfId="15" applyNumberFormat="1" applyFont="1" applyFill="1" applyAlignment="1"/>
    <xf numFmtId="41" fontId="6" fillId="0" borderId="0" xfId="34" applyNumberFormat="1" applyFont="1" applyFill="1" applyBorder="1" applyAlignment="1"/>
    <xf numFmtId="38" fontId="9" fillId="0" borderId="0" xfId="0" applyNumberFormat="1" applyFont="1" applyFill="1" applyAlignment="1">
      <alignment horizontal="center"/>
    </xf>
    <xf numFmtId="38" fontId="5" fillId="0" borderId="0" xfId="0" applyNumberFormat="1" applyFont="1" applyFill="1" applyAlignment="1"/>
    <xf numFmtId="41" fontId="6" fillId="0" borderId="1" xfId="0" applyNumberFormat="1" applyFont="1" applyFill="1" applyBorder="1" applyAlignment="1"/>
    <xf numFmtId="41" fontId="5" fillId="0" borderId="0" xfId="0" applyNumberFormat="1" applyFont="1" applyFill="1" applyBorder="1" applyAlignment="1"/>
    <xf numFmtId="0" fontId="5" fillId="0" borderId="0" xfId="35" applyFont="1" applyFill="1" applyBorder="1" applyAlignment="1">
      <alignment horizontal="justify"/>
    </xf>
    <xf numFmtId="0" fontId="5" fillId="0" borderId="0" xfId="0" applyFont="1" applyFill="1" applyAlignment="1">
      <alignment horizontal="justify"/>
    </xf>
    <xf numFmtId="41" fontId="6" fillId="0" borderId="0" xfId="2" applyNumberFormat="1" applyFont="1" applyFill="1" applyAlignment="1"/>
    <xf numFmtId="167" fontId="6" fillId="0" borderId="0" xfId="0" applyNumberFormat="1" applyFont="1" applyFill="1" applyAlignment="1"/>
    <xf numFmtId="0" fontId="6" fillId="0" borderId="0" xfId="0" applyFont="1" applyAlignment="1">
      <alignment horizontal="left"/>
    </xf>
    <xf numFmtId="0" fontId="5" fillId="0" borderId="0" xfId="0" applyFont="1" applyFill="1" applyAlignment="1"/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38" fontId="6" fillId="0" borderId="0" xfId="0" applyNumberFormat="1" applyFont="1" applyAlignment="1"/>
    <xf numFmtId="38" fontId="6" fillId="0" borderId="0" xfId="0" applyNumberFormat="1" applyFont="1" applyBorder="1" applyAlignment="1"/>
    <xf numFmtId="0" fontId="6" fillId="0" borderId="0" xfId="0" applyFont="1" applyFill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37" fontId="6" fillId="0" borderId="0" xfId="0" applyNumberFormat="1" applyFont="1" applyFill="1" applyBorder="1" applyAlignment="1">
      <alignment wrapText="1"/>
    </xf>
    <xf numFmtId="0" fontId="5" fillId="0" borderId="0" xfId="0" applyNumberFormat="1" applyFont="1" applyFill="1" applyAlignment="1"/>
    <xf numFmtId="49" fontId="6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9" fillId="0" borderId="0" xfId="35" applyFont="1" applyFill="1" applyAlignment="1">
      <alignment horizontal="left"/>
    </xf>
    <xf numFmtId="0" fontId="9" fillId="0" borderId="0" xfId="35" applyFont="1" applyFill="1" applyAlignment="1">
      <alignment horizontal="justify"/>
    </xf>
    <xf numFmtId="41" fontId="6" fillId="0" borderId="2" xfId="34" applyNumberFormat="1" applyFont="1" applyFill="1" applyBorder="1" applyAlignment="1"/>
    <xf numFmtId="41" fontId="5" fillId="0" borderId="3" xfId="34" applyNumberFormat="1" applyFont="1" applyFill="1" applyBorder="1" applyAlignment="1"/>
    <xf numFmtId="38" fontId="5" fillId="0" borderId="0" xfId="0" applyNumberFormat="1" applyFont="1" applyFill="1" applyBorder="1" applyAlignment="1"/>
    <xf numFmtId="41" fontId="5" fillId="0" borderId="0" xfId="0" applyNumberFormat="1" applyFont="1" applyFill="1" applyAlignment="1"/>
    <xf numFmtId="41" fontId="5" fillId="0" borderId="4" xfId="34" applyNumberFormat="1" applyFont="1" applyFill="1" applyBorder="1" applyAlignment="1"/>
    <xf numFmtId="0" fontId="9" fillId="0" borderId="0" xfId="0" applyFont="1" applyFill="1" applyAlignment="1">
      <alignment horizontal="justify"/>
    </xf>
    <xf numFmtId="41" fontId="5" fillId="0" borderId="3" xfId="0" applyNumberFormat="1" applyFont="1" applyFill="1" applyBorder="1" applyAlignment="1"/>
    <xf numFmtId="0" fontId="12" fillId="0" borderId="0" xfId="18" applyFont="1" applyAlignment="1">
      <alignment horizontal="center" vertical="center"/>
    </xf>
    <xf numFmtId="37" fontId="12" fillId="0" borderId="0" xfId="18" applyNumberFormat="1" applyFont="1" applyBorder="1" applyAlignment="1">
      <alignment horizontal="center" vertical="center"/>
    </xf>
    <xf numFmtId="0" fontId="11" fillId="0" borderId="0" xfId="18" applyFont="1" applyAlignment="1">
      <alignment horizontal="left" vertical="center"/>
    </xf>
    <xf numFmtId="41" fontId="12" fillId="0" borderId="0" xfId="2" applyNumberFormat="1" applyFont="1" applyAlignment="1">
      <alignment horizontal="left" vertical="center" wrapText="1"/>
    </xf>
    <xf numFmtId="0" fontId="14" fillId="0" borderId="0" xfId="18" applyFont="1" applyBorder="1" applyAlignment="1">
      <alignment horizontal="center" vertical="center"/>
    </xf>
    <xf numFmtId="0" fontId="12" fillId="0" borderId="0" xfId="18" applyFont="1" applyAlignment="1">
      <alignment horizontal="left" vertical="center"/>
    </xf>
    <xf numFmtId="0" fontId="15" fillId="0" borderId="0" xfId="18" applyFont="1" applyAlignment="1">
      <alignment horizontal="left" vertical="center"/>
    </xf>
    <xf numFmtId="0" fontId="15" fillId="0" borderId="0" xfId="18" applyFont="1" applyBorder="1" applyAlignment="1">
      <alignment horizontal="left" vertical="center"/>
    </xf>
    <xf numFmtId="38" fontId="17" fillId="0" borderId="0" xfId="0" applyNumberFormat="1" applyFont="1" applyFill="1" applyBorder="1" applyAlignment="1">
      <alignment horizontal="center"/>
    </xf>
    <xf numFmtId="41" fontId="16" fillId="0" borderId="0" xfId="35" applyNumberFormat="1" applyFont="1" applyFill="1" applyBorder="1" applyAlignment="1"/>
    <xf numFmtId="41" fontId="16" fillId="0" borderId="0" xfId="15" applyNumberFormat="1" applyFont="1" applyFill="1" applyBorder="1" applyAlignment="1"/>
    <xf numFmtId="41" fontId="16" fillId="0" borderId="0" xfId="34" applyNumberFormat="1" applyFont="1" applyFill="1" applyBorder="1" applyAlignment="1">
      <alignment horizontal="center"/>
    </xf>
    <xf numFmtId="38" fontId="16" fillId="0" borderId="0" xfId="0" applyNumberFormat="1" applyFont="1" applyFill="1" applyBorder="1" applyAlignment="1"/>
    <xf numFmtId="41" fontId="16" fillId="0" borderId="0" xfId="34" applyNumberFormat="1" applyFont="1" applyFill="1" applyBorder="1" applyAlignment="1"/>
    <xf numFmtId="38" fontId="18" fillId="0" borderId="0" xfId="0" applyNumberFormat="1" applyFont="1" applyFill="1" applyBorder="1" applyAlignment="1">
      <alignment horizontal="center"/>
    </xf>
    <xf numFmtId="38" fontId="19" fillId="0" borderId="0" xfId="0" applyNumberFormat="1" applyFont="1" applyFill="1" applyBorder="1" applyAlignment="1"/>
    <xf numFmtId="37" fontId="5" fillId="0" borderId="0" xfId="0" applyNumberFormat="1" applyFont="1" applyFill="1"/>
    <xf numFmtId="37" fontId="5" fillId="0" borderId="0" xfId="0" quotePrefix="1" applyNumberFormat="1" applyFont="1" applyFill="1" applyAlignment="1">
      <alignment horizontal="left"/>
    </xf>
    <xf numFmtId="0" fontId="5" fillId="0" borderId="0" xfId="0" applyNumberFormat="1" applyFont="1" applyFill="1" applyAlignment="1">
      <alignment horizontal="left"/>
    </xf>
    <xf numFmtId="0" fontId="5" fillId="0" borderId="0" xfId="35" applyFont="1" applyFill="1" applyAlignment="1">
      <alignment horizontal="justify" vertical="center"/>
    </xf>
    <xf numFmtId="37" fontId="12" fillId="0" borderId="0" xfId="21" applyNumberFormat="1" applyFont="1" applyAlignment="1">
      <alignment horizontal="centerContinuous" vertical="center"/>
    </xf>
    <xf numFmtId="0" fontId="12" fillId="0" borderId="0" xfId="21" applyFont="1" applyAlignment="1">
      <alignment vertical="center"/>
    </xf>
    <xf numFmtId="0" fontId="12" fillId="0" borderId="0" xfId="21" applyFont="1" applyAlignment="1">
      <alignment horizontal="center" vertical="center"/>
    </xf>
    <xf numFmtId="37" fontId="12" fillId="0" borderId="0" xfId="21" applyNumberFormat="1" applyFont="1" applyAlignment="1">
      <alignment vertical="center"/>
    </xf>
    <xf numFmtId="37" fontId="12" fillId="0" borderId="0" xfId="21" applyNumberFormat="1" applyFont="1" applyBorder="1" applyAlignment="1">
      <alignment horizontal="center" vertical="center"/>
    </xf>
    <xf numFmtId="37" fontId="12" fillId="0" borderId="0" xfId="21" applyNumberFormat="1" applyFont="1" applyAlignment="1">
      <alignment horizontal="center" vertical="center"/>
    </xf>
    <xf numFmtId="0" fontId="14" fillId="0" borderId="0" xfId="21" applyFont="1" applyBorder="1" applyAlignment="1">
      <alignment horizontal="center" vertical="center"/>
    </xf>
    <xf numFmtId="37" fontId="13" fillId="0" borderId="0" xfId="21" applyNumberFormat="1" applyFont="1" applyBorder="1" applyAlignment="1">
      <alignment horizontal="center" vertical="center"/>
    </xf>
    <xf numFmtId="0" fontId="15" fillId="0" borderId="0" xfId="18" applyFont="1" applyAlignment="1">
      <alignment horizontal="center" vertical="center"/>
    </xf>
    <xf numFmtId="37" fontId="5" fillId="0" borderId="0" xfId="21" quotePrefix="1" applyNumberFormat="1" applyFont="1" applyFill="1" applyAlignment="1">
      <alignment horizontal="left"/>
    </xf>
    <xf numFmtId="40" fontId="5" fillId="0" borderId="0" xfId="2" applyNumberFormat="1" applyFont="1" applyFill="1" applyAlignment="1">
      <alignment horizontal="left"/>
    </xf>
    <xf numFmtId="165" fontId="6" fillId="0" borderId="0" xfId="2" applyFont="1" applyFill="1" applyAlignment="1"/>
    <xf numFmtId="165" fontId="6" fillId="0" borderId="0" xfId="2" applyFont="1" applyFill="1" applyBorder="1" applyAlignment="1"/>
    <xf numFmtId="0" fontId="11" fillId="0" borderId="0" xfId="21" applyFont="1" applyBorder="1" applyAlignment="1">
      <alignment vertical="center"/>
    </xf>
    <xf numFmtId="165" fontId="6" fillId="0" borderId="0" xfId="2" quotePrefix="1" applyFont="1" applyFill="1" applyBorder="1" applyAlignment="1">
      <alignment horizontal="right"/>
    </xf>
    <xf numFmtId="165" fontId="6" fillId="0" borderId="0" xfId="2" applyFont="1" applyFill="1" applyBorder="1" applyAlignment="1">
      <alignment horizontal="center"/>
    </xf>
    <xf numFmtId="165" fontId="6" fillId="0" borderId="0" xfId="2" applyFont="1" applyFill="1" applyAlignment="1">
      <alignment horizontal="right"/>
    </xf>
    <xf numFmtId="37" fontId="14" fillId="0" borderId="0" xfId="21" applyNumberFormat="1" applyFont="1" applyBorder="1" applyAlignment="1">
      <alignment horizontal="center" vertical="center"/>
    </xf>
    <xf numFmtId="38" fontId="16" fillId="0" borderId="0" xfId="0" applyNumberFormat="1" applyFont="1" applyFill="1" applyBorder="1" applyAlignment="1">
      <alignment horizontal="center"/>
    </xf>
    <xf numFmtId="41" fontId="6" fillId="0" borderId="0" xfId="2" applyNumberFormat="1" applyFont="1" applyFill="1" applyAlignment="1">
      <alignment horizontal="center"/>
    </xf>
    <xf numFmtId="0" fontId="21" fillId="0" borderId="0" xfId="18" applyFont="1" applyBorder="1" applyAlignment="1">
      <alignment horizontal="center" vertical="center"/>
    </xf>
    <xf numFmtId="167" fontId="21" fillId="0" borderId="0" xfId="18" applyNumberFormat="1" applyFont="1" applyFill="1" applyAlignment="1">
      <alignment horizontal="center" vertical="top"/>
    </xf>
    <xf numFmtId="167" fontId="21" fillId="0" borderId="0" xfId="18" applyNumberFormat="1" applyFont="1" applyFill="1" applyBorder="1" applyAlignment="1">
      <alignment horizontal="center" vertical="top"/>
    </xf>
    <xf numFmtId="0" fontId="23" fillId="0" borderId="0" xfId="18" applyFont="1" applyBorder="1" applyAlignment="1">
      <alignment horizontal="center" vertical="center"/>
    </xf>
    <xf numFmtId="41" fontId="21" fillId="0" borderId="0" xfId="18" applyNumberFormat="1" applyFont="1" applyFill="1" applyBorder="1" applyAlignment="1">
      <alignment horizontal="center" vertical="center"/>
    </xf>
    <xf numFmtId="0" fontId="21" fillId="0" borderId="0" xfId="18" applyFont="1" applyFill="1" applyBorder="1" applyAlignment="1">
      <alignment horizontal="center" vertical="center"/>
    </xf>
    <xf numFmtId="0" fontId="21" fillId="0" borderId="0" xfId="18" applyFont="1" applyFill="1" applyAlignment="1">
      <alignment horizontal="center" vertical="center"/>
    </xf>
    <xf numFmtId="37" fontId="27" fillId="0" borderId="0" xfId="0" quotePrefix="1" applyNumberFormat="1" applyFont="1" applyFill="1" applyAlignment="1">
      <alignment horizontal="left"/>
    </xf>
    <xf numFmtId="38" fontId="27" fillId="0" borderId="0" xfId="0" applyNumberFormat="1" applyFont="1" applyFill="1" applyAlignment="1"/>
    <xf numFmtId="38" fontId="28" fillId="0" borderId="0" xfId="0" applyNumberFormat="1" applyFont="1" applyFill="1" applyAlignment="1">
      <alignment horizontal="left"/>
    </xf>
    <xf numFmtId="37" fontId="27" fillId="0" borderId="0" xfId="0" applyNumberFormat="1" applyFont="1" applyFill="1" applyAlignment="1">
      <alignment horizontal="left"/>
    </xf>
    <xf numFmtId="170" fontId="6" fillId="0" borderId="0" xfId="2" applyNumberFormat="1" applyFont="1" applyFill="1" applyBorder="1" applyAlignment="1">
      <alignment horizontal="center"/>
    </xf>
    <xf numFmtId="41" fontId="6" fillId="0" borderId="1" xfId="0" applyNumberFormat="1" applyFont="1" applyFill="1" applyBorder="1" applyAlignment="1">
      <alignment horizontal="center"/>
    </xf>
    <xf numFmtId="41" fontId="7" fillId="0" borderId="0" xfId="0" applyNumberFormat="1" applyFont="1" applyFill="1" applyAlignment="1">
      <alignment horizontal="center"/>
    </xf>
    <xf numFmtId="38" fontId="28" fillId="0" borderId="0" xfId="0" applyNumberFormat="1" applyFont="1" applyFill="1" applyBorder="1" applyAlignment="1"/>
    <xf numFmtId="38" fontId="28" fillId="0" borderId="0" xfId="0" applyNumberFormat="1" applyFont="1" applyFill="1" applyAlignment="1"/>
    <xf numFmtId="38" fontId="6" fillId="0" borderId="0" xfId="0" applyNumberFormat="1" applyFont="1" applyFill="1" applyBorder="1" applyAlignment="1">
      <alignment horizontal="center"/>
    </xf>
    <xf numFmtId="41" fontId="5" fillId="0" borderId="3" xfId="0" applyNumberFormat="1" applyFont="1" applyFill="1" applyBorder="1" applyAlignment="1">
      <alignment wrapText="1"/>
    </xf>
    <xf numFmtId="41" fontId="5" fillId="0" borderId="0" xfId="0" applyNumberFormat="1" applyFont="1" applyFill="1" applyAlignment="1">
      <alignment horizontal="center"/>
    </xf>
    <xf numFmtId="37" fontId="6" fillId="0" borderId="0" xfId="0" applyNumberFormat="1" applyFont="1" applyAlignment="1"/>
    <xf numFmtId="37" fontId="6" fillId="0" borderId="0" xfId="0" applyNumberFormat="1" applyFont="1" applyBorder="1" applyAlignment="1"/>
    <xf numFmtId="41" fontId="6" fillId="0" borderId="0" xfId="0" applyNumberFormat="1" applyFont="1" applyFill="1" applyAlignment="1">
      <alignment wrapText="1"/>
    </xf>
    <xf numFmtId="41" fontId="5" fillId="0" borderId="5" xfId="0" applyNumberFormat="1" applyFont="1" applyFill="1" applyBorder="1" applyAlignment="1"/>
    <xf numFmtId="41" fontId="5" fillId="0" borderId="0" xfId="0" applyNumberFormat="1" applyFont="1" applyFill="1" applyAlignment="1">
      <alignment horizontal="right"/>
    </xf>
    <xf numFmtId="41" fontId="6" fillId="0" borderId="0" xfId="0" applyNumberFormat="1" applyFont="1" applyAlignment="1"/>
    <xf numFmtId="41" fontId="6" fillId="0" borderId="0" xfId="0" applyNumberFormat="1" applyFont="1" applyBorder="1" applyAlignment="1"/>
    <xf numFmtId="41" fontId="5" fillId="0" borderId="3" xfId="34" applyNumberFormat="1" applyFont="1" applyFill="1" applyBorder="1" applyAlignment="1">
      <alignment horizontal="center"/>
    </xf>
    <xf numFmtId="41" fontId="6" fillId="0" borderId="2" xfId="34" applyNumberFormat="1" applyFont="1" applyFill="1" applyBorder="1" applyAlignment="1">
      <alignment horizontal="center"/>
    </xf>
    <xf numFmtId="41" fontId="5" fillId="0" borderId="4" xfId="34" applyNumberFormat="1" applyFont="1" applyFill="1" applyBorder="1" applyAlignment="1">
      <alignment horizontal="center"/>
    </xf>
    <xf numFmtId="0" fontId="11" fillId="0" borderId="0" xfId="18" applyFont="1" applyBorder="1" applyAlignment="1">
      <alignment horizontal="left" vertical="center"/>
    </xf>
    <xf numFmtId="37" fontId="12" fillId="0" borderId="0" xfId="21" applyNumberFormat="1" applyFont="1" applyFill="1" applyAlignment="1">
      <alignment horizontal="centerContinuous" vertical="center"/>
    </xf>
    <xf numFmtId="37" fontId="12" fillId="0" borderId="0" xfId="21" applyNumberFormat="1" applyFont="1" applyFill="1" applyAlignment="1">
      <alignment vertical="center"/>
    </xf>
    <xf numFmtId="37" fontId="12" fillId="0" borderId="0" xfId="21" applyNumberFormat="1" applyFont="1" applyFill="1" applyBorder="1" applyAlignment="1">
      <alignment horizontal="center" vertical="center"/>
    </xf>
    <xf numFmtId="37" fontId="12" fillId="0" borderId="0" xfId="21" applyNumberFormat="1" applyFont="1" applyFill="1" applyBorder="1" applyAlignment="1">
      <alignment vertical="center"/>
    </xf>
    <xf numFmtId="37" fontId="13" fillId="0" borderId="0" xfId="21" applyNumberFormat="1" applyFont="1" applyFill="1" applyBorder="1" applyAlignment="1">
      <alignment horizontal="center" vertical="center"/>
    </xf>
    <xf numFmtId="37" fontId="14" fillId="0" borderId="0" xfId="21" applyNumberFormat="1" applyFont="1" applyFill="1" applyBorder="1" applyAlignment="1">
      <alignment horizontal="center" vertical="center"/>
    </xf>
    <xf numFmtId="41" fontId="12" fillId="0" borderId="0" xfId="2" applyNumberFormat="1" applyFont="1" applyFill="1" applyAlignment="1">
      <alignment vertical="center" wrapText="1"/>
    </xf>
    <xf numFmtId="41" fontId="12" fillId="0" borderId="0" xfId="2" applyNumberFormat="1" applyFont="1" applyFill="1" applyBorder="1" applyAlignment="1">
      <alignment horizontal="center" vertical="center" wrapText="1"/>
    </xf>
    <xf numFmtId="0" fontId="12" fillId="0" borderId="0" xfId="21" applyFont="1" applyFill="1" applyAlignment="1">
      <alignment vertical="center"/>
    </xf>
    <xf numFmtId="37" fontId="21" fillId="0" borderId="0" xfId="18" applyNumberFormat="1" applyFont="1" applyFill="1" applyAlignment="1">
      <alignment horizontal="center" vertical="center"/>
    </xf>
    <xf numFmtId="0" fontId="21" fillId="0" borderId="0" xfId="18" applyFont="1" applyFill="1" applyAlignment="1">
      <alignment vertical="center"/>
    </xf>
    <xf numFmtId="37" fontId="21" fillId="0" borderId="0" xfId="18" applyNumberFormat="1" applyFont="1" applyFill="1" applyBorder="1" applyAlignment="1">
      <alignment horizontal="center" vertical="center"/>
    </xf>
    <xf numFmtId="37" fontId="24" fillId="0" borderId="0" xfId="18" applyNumberFormat="1" applyFont="1" applyFill="1" applyBorder="1" applyAlignment="1">
      <alignment horizontal="center" vertical="center"/>
    </xf>
    <xf numFmtId="37" fontId="23" fillId="0" borderId="0" xfId="18" applyNumberFormat="1" applyFont="1" applyFill="1" applyBorder="1" applyAlignment="1">
      <alignment horizontal="center" vertical="center"/>
    </xf>
    <xf numFmtId="41" fontId="22" fillId="0" borderId="0" xfId="18" applyNumberFormat="1" applyFont="1" applyFill="1" applyBorder="1" applyAlignment="1">
      <alignment horizontal="right" vertical="center"/>
    </xf>
    <xf numFmtId="41" fontId="26" fillId="0" borderId="0" xfId="18" applyNumberFormat="1" applyFont="1" applyFill="1" applyBorder="1" applyAlignment="1">
      <alignment horizontal="right" vertical="center"/>
    </xf>
    <xf numFmtId="41" fontId="21" fillId="0" borderId="0" xfId="2" applyNumberFormat="1" applyFont="1" applyFill="1" applyAlignment="1">
      <alignment horizontal="left" vertical="center" wrapText="1"/>
    </xf>
    <xf numFmtId="41" fontId="21" fillId="0" borderId="0" xfId="18" applyNumberFormat="1" applyFont="1" applyFill="1" applyAlignment="1">
      <alignment horizontal="left" vertical="center"/>
    </xf>
    <xf numFmtId="41" fontId="21" fillId="0" borderId="0" xfId="18" applyNumberFormat="1" applyFont="1" applyFill="1" applyBorder="1" applyAlignment="1">
      <alignment horizontal="left" vertical="center"/>
    </xf>
    <xf numFmtId="41" fontId="21" fillId="0" borderId="0" xfId="2" applyNumberFormat="1" applyFont="1" applyFill="1" applyBorder="1" applyAlignment="1">
      <alignment horizontal="left" vertical="center" wrapText="1"/>
    </xf>
    <xf numFmtId="41" fontId="21" fillId="0" borderId="0" xfId="2" applyNumberFormat="1" applyFont="1" applyFill="1" applyAlignment="1">
      <alignment horizontal="center" vertical="center" wrapText="1"/>
    </xf>
    <xf numFmtId="41" fontId="21" fillId="0" borderId="0" xfId="18" applyNumberFormat="1" applyFont="1" applyFill="1" applyAlignment="1">
      <alignment horizontal="center" vertical="center"/>
    </xf>
    <xf numFmtId="41" fontId="22" fillId="0" borderId="0" xfId="18" applyNumberFormat="1" applyFont="1" applyFill="1" applyBorder="1" applyAlignment="1">
      <alignment horizontal="center" vertical="center"/>
    </xf>
    <xf numFmtId="165" fontId="22" fillId="0" borderId="0" xfId="2" applyFont="1" applyFill="1" applyBorder="1" applyAlignment="1">
      <alignment horizontal="center" vertical="center"/>
    </xf>
    <xf numFmtId="41" fontId="26" fillId="0" borderId="0" xfId="18" applyNumberFormat="1" applyFont="1" applyFill="1" applyBorder="1" applyAlignment="1">
      <alignment horizontal="center" vertical="center"/>
    </xf>
    <xf numFmtId="41" fontId="26" fillId="0" borderId="0" xfId="18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38" fontId="9" fillId="0" borderId="0" xfId="0" applyNumberFormat="1" applyFont="1" applyFill="1" applyAlignment="1">
      <alignment horizontal="justify" vertical="top"/>
    </xf>
    <xf numFmtId="38" fontId="6" fillId="0" borderId="0" xfId="0" applyNumberFormat="1" applyFont="1" applyFill="1" applyAlignment="1">
      <alignment vertical="top"/>
    </xf>
    <xf numFmtId="38" fontId="6" fillId="0" borderId="0" xfId="0" applyNumberFormat="1" applyFont="1" applyFill="1" applyAlignment="1">
      <alignment horizontal="justify" vertical="top"/>
    </xf>
    <xf numFmtId="38" fontId="8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justify" vertical="top" wrapText="1"/>
    </xf>
    <xf numFmtId="0" fontId="9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/>
    </xf>
    <xf numFmtId="0" fontId="9" fillId="0" borderId="0" xfId="0" applyFont="1" applyFill="1" applyAlignment="1">
      <alignment horizontal="justify" vertical="top" wrapText="1"/>
    </xf>
    <xf numFmtId="0" fontId="6" fillId="0" borderId="0" xfId="0" applyFont="1" applyFill="1" applyAlignment="1">
      <alignment horizontal="left" vertical="top"/>
    </xf>
    <xf numFmtId="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168" fontId="9" fillId="0" borderId="0" xfId="0" applyNumberFormat="1" applyFont="1" applyFill="1" applyAlignment="1">
      <alignment horizontal="center" vertical="top"/>
    </xf>
    <xf numFmtId="38" fontId="5" fillId="0" borderId="0" xfId="0" applyNumberFormat="1" applyFont="1" applyAlignment="1">
      <alignment horizontal="justify" vertical="top"/>
    </xf>
    <xf numFmtId="3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71" fontId="21" fillId="0" borderId="0" xfId="2" applyNumberFormat="1" applyFont="1" applyFill="1" applyAlignment="1">
      <alignment horizontal="center" vertical="center"/>
    </xf>
    <xf numFmtId="171" fontId="26" fillId="0" borderId="0" xfId="18" applyNumberFormat="1" applyFont="1" applyFill="1" applyBorder="1" applyAlignment="1">
      <alignment horizontal="center" vertical="center"/>
    </xf>
    <xf numFmtId="171" fontId="22" fillId="0" borderId="0" xfId="18" applyNumberFormat="1" applyFont="1" applyFill="1" applyBorder="1" applyAlignment="1">
      <alignment horizontal="center" vertical="center"/>
    </xf>
    <xf numFmtId="171" fontId="12" fillId="0" borderId="0" xfId="21" applyNumberFormat="1" applyFont="1" applyAlignment="1">
      <alignment vertical="center"/>
    </xf>
    <xf numFmtId="171" fontId="12" fillId="0" borderId="0" xfId="21" applyNumberFormat="1" applyFont="1" applyFill="1" applyAlignment="1">
      <alignment vertical="center"/>
    </xf>
    <xf numFmtId="171" fontId="12" fillId="0" borderId="0" xfId="2" applyNumberFormat="1" applyFont="1" applyFill="1" applyAlignment="1">
      <alignment vertical="center" wrapText="1"/>
    </xf>
    <xf numFmtId="165" fontId="12" fillId="0" borderId="0" xfId="2" applyFont="1" applyFill="1" applyAlignment="1"/>
    <xf numFmtId="165" fontId="12" fillId="0" borderId="0" xfId="2" applyFont="1" applyFill="1" applyBorder="1" applyAlignment="1">
      <alignment horizontal="center"/>
    </xf>
    <xf numFmtId="165" fontId="12" fillId="0" borderId="0" xfId="2" applyFont="1" applyFill="1" applyBorder="1" applyAlignment="1"/>
    <xf numFmtId="172" fontId="6" fillId="0" borderId="0" xfId="34" applyNumberFormat="1" applyFont="1" applyFill="1" applyAlignment="1">
      <alignment horizontal="center"/>
    </xf>
    <xf numFmtId="41" fontId="5" fillId="0" borderId="0" xfId="34" applyNumberFormat="1" applyFont="1" applyFill="1" applyBorder="1" applyAlignment="1"/>
    <xf numFmtId="37" fontId="27" fillId="0" borderId="0" xfId="0" applyNumberFormat="1" applyFont="1" applyFill="1"/>
    <xf numFmtId="165" fontId="6" fillId="0" borderId="0" xfId="2" applyFont="1" applyFill="1" applyAlignment="1">
      <alignment horizontal="center"/>
    </xf>
    <xf numFmtId="173" fontId="6" fillId="0" borderId="0" xfId="34" applyNumberFormat="1" applyFont="1" applyFill="1" applyAlignment="1">
      <alignment horizontal="center"/>
    </xf>
    <xf numFmtId="41" fontId="5" fillId="0" borderId="1" xfId="21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37" fontId="5" fillId="0" borderId="0" xfId="2" applyNumberFormat="1" applyFont="1" applyFill="1" applyBorder="1" applyAlignment="1"/>
    <xf numFmtId="37" fontId="5" fillId="0" borderId="5" xfId="0" applyNumberFormat="1" applyFont="1" applyFill="1" applyBorder="1" applyAlignment="1">
      <alignment horizontal="right"/>
    </xf>
    <xf numFmtId="170" fontId="6" fillId="0" borderId="0" xfId="2" applyNumberFormat="1" applyFont="1" applyFill="1" applyAlignment="1">
      <alignment horizontal="center"/>
    </xf>
    <xf numFmtId="165" fontId="21" fillId="0" borderId="0" xfId="2" applyFont="1" applyFill="1" applyBorder="1" applyAlignment="1">
      <alignment horizontal="center" vertical="center"/>
    </xf>
    <xf numFmtId="165" fontId="21" fillId="0" borderId="1" xfId="2" applyFont="1" applyFill="1" applyBorder="1" applyAlignment="1">
      <alignment horizontal="center" vertical="center"/>
    </xf>
    <xf numFmtId="165" fontId="12" fillId="0" borderId="1" xfId="2" applyFont="1" applyFill="1" applyBorder="1" applyAlignment="1">
      <alignment horizontal="center"/>
    </xf>
    <xf numFmtId="41" fontId="12" fillId="0" borderId="1" xfId="2" applyNumberFormat="1" applyFont="1" applyFill="1" applyBorder="1" applyAlignment="1">
      <alignment horizontal="right" vertical="center" wrapText="1"/>
    </xf>
    <xf numFmtId="165" fontId="11" fillId="0" borderId="1" xfId="2" applyFont="1" applyFill="1" applyBorder="1" applyAlignment="1">
      <alignment horizontal="center"/>
    </xf>
    <xf numFmtId="41" fontId="6" fillId="0" borderId="0" xfId="2" applyNumberFormat="1" applyFont="1" applyFill="1" applyBorder="1" applyAlignment="1"/>
    <xf numFmtId="41" fontId="5" fillId="0" borderId="0" xfId="0" applyNumberFormat="1" applyFont="1" applyFill="1" applyBorder="1" applyAlignment="1">
      <alignment wrapText="1"/>
    </xf>
    <xf numFmtId="37" fontId="12" fillId="0" borderId="0" xfId="21" applyNumberFormat="1" applyFont="1" applyFill="1" applyAlignment="1">
      <alignment horizontal="center" vertical="center"/>
    </xf>
    <xf numFmtId="0" fontId="12" fillId="0" borderId="0" xfId="21" applyFont="1" applyFill="1" applyAlignment="1">
      <alignment horizontal="center" vertical="center"/>
    </xf>
    <xf numFmtId="41" fontId="6" fillId="0" borderId="0" xfId="21" applyNumberFormat="1" applyFont="1" applyFill="1" applyBorder="1" applyAlignment="1">
      <alignment horizontal="right" vertical="center"/>
    </xf>
    <xf numFmtId="165" fontId="5" fillId="0" borderId="0" xfId="2" applyFont="1" applyFill="1" applyBorder="1" applyAlignment="1"/>
    <xf numFmtId="165" fontId="6" fillId="0" borderId="1" xfId="2" applyFont="1" applyFill="1" applyBorder="1" applyAlignment="1"/>
    <xf numFmtId="41" fontId="6" fillId="0" borderId="4" xfId="15" applyNumberFormat="1" applyFont="1" applyFill="1" applyBorder="1" applyAlignment="1"/>
    <xf numFmtId="0" fontId="6" fillId="0" borderId="0" xfId="0" applyNumberFormat="1" applyFont="1" applyFill="1" applyAlignment="1">
      <alignment vertical="top"/>
    </xf>
    <xf numFmtId="41" fontId="5" fillId="0" borderId="1" xfId="34" applyNumberFormat="1" applyFont="1" applyFill="1" applyBorder="1" applyAlignment="1"/>
    <xf numFmtId="41" fontId="5" fillId="0" borderId="2" xfId="34" applyNumberFormat="1" applyFont="1" applyFill="1" applyBorder="1" applyAlignment="1"/>
    <xf numFmtId="0" fontId="5" fillId="0" borderId="0" xfId="0" applyFont="1" applyFill="1" applyAlignment="1">
      <alignment horizontal="left" wrapText="1"/>
    </xf>
    <xf numFmtId="41" fontId="5" fillId="0" borderId="0" xfId="21" applyNumberFormat="1" applyFont="1" applyFill="1" applyBorder="1" applyAlignment="1">
      <alignment horizontal="center"/>
    </xf>
    <xf numFmtId="165" fontId="5" fillId="0" borderId="0" xfId="2" applyFont="1" applyFill="1" applyBorder="1" applyAlignment="1">
      <alignment horizontal="center"/>
    </xf>
    <xf numFmtId="41" fontId="5" fillId="0" borderId="0" xfId="34" applyNumberFormat="1" applyFont="1" applyFill="1" applyAlignment="1"/>
    <xf numFmtId="41" fontId="5" fillId="0" borderId="0" xfId="34" applyNumberFormat="1" applyFont="1" applyFill="1" applyAlignment="1">
      <alignment horizontal="center"/>
    </xf>
    <xf numFmtId="41" fontId="19" fillId="0" borderId="0" xfId="34" applyNumberFormat="1" applyFont="1" applyFill="1" applyBorder="1" applyAlignment="1"/>
    <xf numFmtId="170" fontId="6" fillId="0" borderId="0" xfId="2" applyNumberFormat="1" applyFont="1" applyFill="1" applyBorder="1" applyAlignment="1">
      <alignment horizontal="right"/>
    </xf>
    <xf numFmtId="167" fontId="6" fillId="0" borderId="0" xfId="21" applyNumberFormat="1" applyFont="1" applyFill="1" applyBorder="1" applyAlignment="1">
      <alignment horizontal="right"/>
    </xf>
    <xf numFmtId="170" fontId="6" fillId="0" borderId="1" xfId="2" applyNumberFormat="1" applyFont="1" applyFill="1" applyBorder="1" applyAlignment="1">
      <alignment horizontal="center"/>
    </xf>
    <xf numFmtId="38" fontId="8" fillId="0" borderId="0" xfId="0" applyNumberFormat="1" applyFont="1" applyFill="1" applyAlignment="1">
      <alignment horizontal="left" indent="1"/>
    </xf>
    <xf numFmtId="0" fontId="5" fillId="0" borderId="0" xfId="21" applyFont="1" applyFill="1" applyAlignment="1"/>
    <xf numFmtId="38" fontId="6" fillId="0" borderId="0" xfId="0" applyNumberFormat="1" applyFont="1" applyAlignment="1">
      <alignment vertical="top"/>
    </xf>
    <xf numFmtId="37" fontId="14" fillId="0" borderId="0" xfId="21" applyNumberFormat="1" applyFont="1" applyBorder="1" applyAlignment="1">
      <alignment vertical="center"/>
    </xf>
    <xf numFmtId="170" fontId="11" fillId="0" borderId="0" xfId="2" applyNumberFormat="1" applyFont="1" applyFill="1" applyBorder="1" applyAlignment="1">
      <alignment horizontal="center"/>
    </xf>
    <xf numFmtId="37" fontId="11" fillId="0" borderId="0" xfId="21" applyNumberFormat="1" applyFont="1" applyBorder="1" applyAlignment="1">
      <alignment horizontal="center" vertical="center"/>
    </xf>
    <xf numFmtId="37" fontId="12" fillId="0" borderId="1" xfId="21" applyNumberFormat="1" applyFont="1" applyBorder="1" applyAlignment="1">
      <alignment horizontal="center" vertical="center"/>
    </xf>
    <xf numFmtId="171" fontId="22" fillId="0" borderId="0" xfId="2" applyNumberFormat="1" applyFont="1" applyFill="1" applyBorder="1" applyAlignment="1">
      <alignment horizontal="right" vertical="center"/>
    </xf>
    <xf numFmtId="0" fontId="21" fillId="0" borderId="0" xfId="18" applyFont="1" applyFill="1" applyAlignment="1">
      <alignment horizontal="left" vertical="center"/>
    </xf>
    <xf numFmtId="0" fontId="25" fillId="0" borderId="0" xfId="18" applyFont="1" applyFill="1" applyAlignment="1">
      <alignment horizontal="left" vertical="center"/>
    </xf>
    <xf numFmtId="0" fontId="22" fillId="0" borderId="0" xfId="18" applyFont="1" applyFill="1" applyAlignment="1">
      <alignment horizontal="left" vertical="center"/>
    </xf>
    <xf numFmtId="37" fontId="12" fillId="0" borderId="0" xfId="18" applyNumberFormat="1" applyFont="1" applyAlignment="1">
      <alignment horizontal="center" vertical="center"/>
    </xf>
    <xf numFmtId="41" fontId="5" fillId="0" borderId="0" xfId="34" applyNumberFormat="1" applyFont="1" applyFill="1" applyBorder="1" applyAlignment="1">
      <alignment horizontal="center"/>
    </xf>
    <xf numFmtId="41" fontId="6" fillId="0" borderId="0" xfId="34" applyNumberFormat="1" applyFont="1" applyFill="1" applyBorder="1" applyAlignment="1">
      <alignment horizontal="center"/>
    </xf>
    <xf numFmtId="41" fontId="6" fillId="0" borderId="0" xfId="15" applyNumberFormat="1" applyFont="1" applyFill="1" applyBorder="1" applyAlignment="1"/>
    <xf numFmtId="41" fontId="5" fillId="0" borderId="5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Border="1" applyAlignment="1">
      <alignment horizontal="right" vertical="center"/>
    </xf>
    <xf numFmtId="37" fontId="6" fillId="0" borderId="0" xfId="21" applyNumberFormat="1" applyFont="1" applyFill="1" applyBorder="1" applyAlignment="1">
      <alignment horizontal="right"/>
    </xf>
    <xf numFmtId="37" fontId="5" fillId="0" borderId="0" xfId="21" applyNumberFormat="1" applyFont="1" applyFill="1" applyBorder="1" applyAlignment="1">
      <alignment horizontal="right"/>
    </xf>
    <xf numFmtId="38" fontId="6" fillId="0" borderId="0" xfId="0" applyNumberFormat="1" applyFont="1" applyFill="1"/>
    <xf numFmtId="38" fontId="5" fillId="0" borderId="0" xfId="0" applyNumberFormat="1" applyFont="1" applyFill="1"/>
    <xf numFmtId="41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8" fontId="6" fillId="0" borderId="0" xfId="0" applyNumberFormat="1" applyFont="1" applyFill="1" applyBorder="1" applyAlignment="1">
      <alignment vertical="center"/>
    </xf>
    <xf numFmtId="169" fontId="6" fillId="0" borderId="4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39" fontId="6" fillId="0" borderId="0" xfId="2" applyNumberFormat="1" applyFont="1" applyFill="1" applyBorder="1" applyAlignment="1">
      <alignment vertical="center"/>
    </xf>
    <xf numFmtId="39" fontId="6" fillId="0" borderId="0" xfId="0" applyNumberFormat="1" applyFont="1" applyFill="1" applyBorder="1" applyAlignment="1">
      <alignment vertical="center"/>
    </xf>
    <xf numFmtId="0" fontId="5" fillId="0" borderId="0" xfId="21" applyFont="1" applyFill="1" applyAlignment="1">
      <alignment horizontal="justify"/>
    </xf>
    <xf numFmtId="164" fontId="5" fillId="0" borderId="0" xfId="0" applyNumberFormat="1" applyFont="1" applyFill="1" applyAlignment="1"/>
    <xf numFmtId="0" fontId="6" fillId="0" borderId="0" xfId="21" applyFont="1" applyFill="1" applyAlignment="1">
      <alignment horizontal="left"/>
    </xf>
    <xf numFmtId="41" fontId="5" fillId="0" borderId="3" xfId="0" applyNumberFormat="1" applyFont="1" applyFill="1" applyBorder="1" applyAlignment="1">
      <alignment horizontal="center"/>
    </xf>
    <xf numFmtId="0" fontId="9" fillId="0" borderId="0" xfId="21" applyFont="1" applyFill="1" applyAlignment="1">
      <alignment horizontal="left"/>
    </xf>
    <xf numFmtId="0" fontId="5" fillId="0" borderId="0" xfId="21" applyFont="1" applyFill="1" applyAlignment="1">
      <alignment horizontal="left"/>
    </xf>
    <xf numFmtId="38" fontId="6" fillId="0" borderId="0" xfId="0" applyNumberFormat="1" applyFont="1" applyFill="1" applyAlignment="1">
      <alignment horizontal="centerContinuous"/>
    </xf>
    <xf numFmtId="37" fontId="6" fillId="0" borderId="0" xfId="0" applyNumberFormat="1" applyFont="1" applyFill="1" applyAlignment="1">
      <alignment horizontal="centerContinuous"/>
    </xf>
    <xf numFmtId="37" fontId="6" fillId="0" borderId="0" xfId="0" applyNumberFormat="1" applyFont="1" applyFill="1" applyBorder="1" applyAlignment="1">
      <alignment horizontal="centerContinuous"/>
    </xf>
    <xf numFmtId="0" fontId="5" fillId="0" borderId="0" xfId="0" applyFont="1" applyFill="1" applyAlignment="1">
      <alignment horizontal="left" vertical="center"/>
    </xf>
    <xf numFmtId="40" fontId="6" fillId="0" borderId="0" xfId="0" applyNumberFormat="1" applyFont="1" applyFill="1"/>
    <xf numFmtId="0" fontId="10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horizontal="justify" vertical="center"/>
    </xf>
    <xf numFmtId="41" fontId="21" fillId="0" borderId="1" xfId="2" applyNumberFormat="1" applyFont="1" applyFill="1" applyBorder="1" applyAlignment="1">
      <alignment horizontal="left" vertical="center" wrapText="1"/>
    </xf>
    <xf numFmtId="165" fontId="5" fillId="0" borderId="1" xfId="2" applyFont="1" applyFill="1" applyBorder="1" applyAlignment="1">
      <alignment horizontal="center"/>
    </xf>
    <xf numFmtId="170" fontId="6" fillId="0" borderId="0" xfId="2" applyNumberFormat="1" applyFont="1" applyFill="1" applyBorder="1" applyAlignment="1"/>
    <xf numFmtId="169" fontId="6" fillId="0" borderId="0" xfId="0" applyNumberFormat="1" applyFont="1" applyFill="1" applyAlignment="1"/>
    <xf numFmtId="169" fontId="6" fillId="0" borderId="0" xfId="34" applyNumberFormat="1" applyFont="1" applyFill="1" applyAlignment="1"/>
    <xf numFmtId="169" fontId="6" fillId="0" borderId="0" xfId="0" applyNumberFormat="1" applyFont="1" applyFill="1" applyBorder="1" applyAlignment="1"/>
    <xf numFmtId="170" fontId="22" fillId="0" borderId="0" xfId="18" applyNumberFormat="1" applyFont="1" applyFill="1" applyBorder="1" applyAlignment="1">
      <alignment horizontal="right" vertical="center"/>
    </xf>
    <xf numFmtId="165" fontId="22" fillId="0" borderId="0" xfId="2" applyFont="1" applyFill="1" applyBorder="1" applyAlignment="1">
      <alignment horizontal="center"/>
    </xf>
    <xf numFmtId="41" fontId="22" fillId="0" borderId="3" xfId="18" applyNumberFormat="1" applyFont="1" applyFill="1" applyBorder="1" applyAlignment="1">
      <alignment horizontal="right" vertical="center"/>
    </xf>
    <xf numFmtId="165" fontId="22" fillId="0" borderId="1" xfId="2" applyFont="1" applyFill="1" applyBorder="1" applyAlignment="1">
      <alignment horizontal="center"/>
    </xf>
    <xf numFmtId="170" fontId="22" fillId="0" borderId="3" xfId="2" applyNumberFormat="1" applyFont="1" applyFill="1" applyBorder="1" applyAlignment="1">
      <alignment horizontal="center"/>
    </xf>
    <xf numFmtId="165" fontId="22" fillId="0" borderId="3" xfId="2" applyFont="1" applyFill="1" applyBorder="1" applyAlignment="1">
      <alignment horizontal="center"/>
    </xf>
    <xf numFmtId="41" fontId="22" fillId="0" borderId="3" xfId="2" applyNumberFormat="1" applyFont="1" applyFill="1" applyBorder="1" applyAlignment="1">
      <alignment horizontal="right" vertical="center"/>
    </xf>
    <xf numFmtId="37" fontId="22" fillId="0" borderId="4" xfId="18" applyNumberFormat="1" applyFont="1" applyFill="1" applyBorder="1" applyAlignment="1">
      <alignment horizontal="right" vertical="center"/>
    </xf>
    <xf numFmtId="37" fontId="22" fillId="0" borderId="0" xfId="18" applyNumberFormat="1" applyFont="1" applyFill="1" applyAlignment="1">
      <alignment horizontal="right" vertical="center"/>
    </xf>
    <xf numFmtId="37" fontId="22" fillId="0" borderId="0" xfId="18" applyNumberFormat="1" applyFont="1" applyFill="1" applyBorder="1" applyAlignment="1">
      <alignment horizontal="right" vertical="center"/>
    </xf>
    <xf numFmtId="167" fontId="22" fillId="0" borderId="0" xfId="18" applyNumberFormat="1" applyFont="1" applyFill="1" applyBorder="1" applyAlignment="1">
      <alignment horizontal="right" vertical="center"/>
    </xf>
    <xf numFmtId="38" fontId="6" fillId="0" borderId="0" xfId="21" applyNumberFormat="1" applyFont="1" applyFill="1" applyAlignment="1"/>
    <xf numFmtId="37" fontId="6" fillId="0" borderId="0" xfId="21" applyNumberFormat="1" applyFont="1" applyFill="1" applyAlignment="1"/>
    <xf numFmtId="38" fontId="6" fillId="0" borderId="0" xfId="21" applyNumberFormat="1" applyFont="1" applyFill="1" applyBorder="1" applyAlignment="1"/>
    <xf numFmtId="41" fontId="21" fillId="0" borderId="0" xfId="18" applyNumberFormat="1" applyFont="1" applyFill="1" applyBorder="1" applyAlignment="1">
      <alignment horizontal="right" vertical="center"/>
    </xf>
    <xf numFmtId="37" fontId="21" fillId="0" borderId="0" xfId="18" applyNumberFormat="1" applyFont="1" applyFill="1" applyBorder="1" applyAlignment="1">
      <alignment horizontal="right" vertical="center"/>
    </xf>
    <xf numFmtId="37" fontId="21" fillId="0" borderId="1" xfId="18" applyNumberFormat="1" applyFont="1" applyFill="1" applyBorder="1" applyAlignment="1">
      <alignment horizontal="right" vertical="center"/>
    </xf>
    <xf numFmtId="170" fontId="11" fillId="0" borderId="3" xfId="2" applyNumberFormat="1" applyFont="1" applyFill="1" applyBorder="1" applyAlignment="1">
      <alignment horizontal="center" wrapText="1"/>
    </xf>
    <xf numFmtId="37" fontId="11" fillId="0" borderId="0" xfId="21" applyNumberFormat="1" applyFont="1" applyFill="1" applyBorder="1" applyAlignment="1">
      <alignment vertical="center" wrapText="1"/>
    </xf>
    <xf numFmtId="41" fontId="11" fillId="0" borderId="3" xfId="18" applyNumberFormat="1" applyFont="1" applyFill="1" applyBorder="1" applyAlignment="1">
      <alignment horizontal="right" vertical="center" wrapText="1"/>
    </xf>
    <xf numFmtId="170" fontId="11" fillId="0" borderId="3" xfId="2" applyNumberFormat="1" applyFont="1" applyFill="1" applyBorder="1" applyAlignment="1">
      <alignment horizontal="left" vertical="center" wrapText="1"/>
    </xf>
    <xf numFmtId="37" fontId="12" fillId="0" borderId="0" xfId="21" applyNumberFormat="1" applyFont="1" applyFill="1" applyAlignment="1">
      <alignment vertical="center" wrapText="1"/>
    </xf>
    <xf numFmtId="41" fontId="11" fillId="0" borderId="1" xfId="2" applyNumberFormat="1" applyFont="1" applyFill="1" applyBorder="1" applyAlignment="1">
      <alignment vertical="center" wrapText="1"/>
    </xf>
    <xf numFmtId="0" fontId="12" fillId="0" borderId="0" xfId="21" applyFont="1" applyFill="1" applyAlignment="1">
      <alignment vertical="center" wrapText="1"/>
    </xf>
    <xf numFmtId="37" fontId="11" fillId="0" borderId="0" xfId="21" applyNumberFormat="1" applyFont="1" applyFill="1" applyBorder="1" applyAlignment="1">
      <alignment horizontal="center" vertical="center" wrapText="1"/>
    </xf>
    <xf numFmtId="170" fontId="12" fillId="0" borderId="0" xfId="18" applyNumberFormat="1" applyFont="1" applyFill="1" applyBorder="1" applyAlignment="1">
      <alignment horizontal="right" vertical="center" wrapText="1"/>
    </xf>
    <xf numFmtId="170" fontId="11" fillId="0" borderId="0" xfId="2" applyNumberFormat="1" applyFont="1" applyFill="1" applyBorder="1" applyAlignment="1">
      <alignment horizontal="left" vertical="center" wrapText="1"/>
    </xf>
    <xf numFmtId="170" fontId="11" fillId="0" borderId="4" xfId="2" applyNumberFormat="1" applyFont="1" applyFill="1" applyBorder="1" applyAlignment="1">
      <alignment horizontal="center" vertical="center" wrapText="1"/>
    </xf>
    <xf numFmtId="170" fontId="12" fillId="0" borderId="0" xfId="2" applyNumberFormat="1" applyFont="1" applyFill="1" applyBorder="1" applyAlignment="1">
      <alignment horizontal="center"/>
    </xf>
    <xf numFmtId="170" fontId="12" fillId="0" borderId="0" xfId="21" applyNumberFormat="1" applyFont="1" applyFill="1" applyAlignment="1">
      <alignment vertical="center"/>
    </xf>
    <xf numFmtId="37" fontId="6" fillId="0" borderId="1" xfId="0" applyNumberFormat="1" applyFont="1" applyFill="1" applyBorder="1" applyAlignment="1"/>
    <xf numFmtId="165" fontId="21" fillId="0" borderId="0" xfId="2" applyFont="1" applyFill="1" applyBorder="1" applyAlignment="1">
      <alignment horizontal="left" vertical="center"/>
    </xf>
    <xf numFmtId="170" fontId="22" fillId="0" borderId="1" xfId="2" applyNumberFormat="1" applyFont="1" applyFill="1" applyBorder="1" applyAlignment="1">
      <alignment horizontal="center"/>
    </xf>
    <xf numFmtId="171" fontId="21" fillId="0" borderId="0" xfId="18" applyNumberFormat="1" applyFont="1" applyFill="1" applyAlignment="1">
      <alignment horizontal="center" vertical="center"/>
    </xf>
    <xf numFmtId="167" fontId="22" fillId="0" borderId="3" xfId="2" applyNumberFormat="1" applyFont="1" applyFill="1" applyBorder="1" applyAlignment="1">
      <alignment horizontal="center"/>
    </xf>
    <xf numFmtId="171" fontId="21" fillId="0" borderId="0" xfId="18" applyNumberFormat="1" applyFont="1" applyFill="1" applyAlignment="1">
      <alignment horizontal="right" vertical="center"/>
    </xf>
    <xf numFmtId="41" fontId="21" fillId="0" borderId="1" xfId="18" applyNumberFormat="1" applyFont="1" applyFill="1" applyBorder="1" applyAlignment="1">
      <alignment horizontal="right" vertical="center"/>
    </xf>
    <xf numFmtId="41" fontId="21" fillId="0" borderId="1" xfId="2" applyNumberFormat="1" applyFont="1" applyFill="1" applyBorder="1" applyAlignment="1">
      <alignment horizontal="center" vertical="center" wrapText="1"/>
    </xf>
    <xf numFmtId="41" fontId="22" fillId="0" borderId="1" xfId="2" applyNumberFormat="1" applyFont="1" applyFill="1" applyBorder="1" applyAlignment="1">
      <alignment horizontal="center" vertical="center" wrapText="1"/>
    </xf>
    <xf numFmtId="171" fontId="24" fillId="0" borderId="0" xfId="18" applyNumberFormat="1" applyFont="1" applyFill="1" applyAlignment="1">
      <alignment horizontal="right" vertical="center"/>
    </xf>
    <xf numFmtId="167" fontId="6" fillId="0" borderId="0" xfId="34" applyNumberFormat="1" applyFont="1" applyFill="1" applyAlignment="1"/>
    <xf numFmtId="41" fontId="24" fillId="0" borderId="0" xfId="18" applyNumberFormat="1" applyFont="1" applyFill="1" applyAlignment="1">
      <alignment horizontal="center" vertical="center"/>
    </xf>
    <xf numFmtId="41" fontId="24" fillId="0" borderId="0" xfId="18" applyNumberFormat="1" applyFont="1" applyFill="1" applyAlignment="1">
      <alignment horizontal="left" vertical="center"/>
    </xf>
    <xf numFmtId="171" fontId="11" fillId="0" borderId="0" xfId="21" applyNumberFormat="1" applyFont="1" applyFill="1" applyBorder="1" applyAlignment="1">
      <alignment vertical="center"/>
    </xf>
    <xf numFmtId="170" fontId="12" fillId="0" borderId="0" xfId="21" applyNumberFormat="1" applyFont="1" applyFill="1" applyBorder="1" applyAlignment="1">
      <alignment vertical="center"/>
    </xf>
    <xf numFmtId="171" fontId="12" fillId="0" borderId="0" xfId="2" applyNumberFormat="1" applyFont="1" applyFill="1" applyBorder="1" applyAlignment="1">
      <alignment horizontal="center" vertical="center"/>
    </xf>
    <xf numFmtId="171" fontId="12" fillId="0" borderId="0" xfId="21" applyNumberFormat="1" applyFont="1" applyFill="1" applyAlignment="1">
      <alignment horizontal="center" vertical="center"/>
    </xf>
    <xf numFmtId="165" fontId="12" fillId="0" borderId="0" xfId="2" applyFont="1" applyFill="1" applyBorder="1" applyAlignment="1">
      <alignment horizontal="center" vertical="center"/>
    </xf>
    <xf numFmtId="170" fontId="5" fillId="0" borderId="1" xfId="2" applyNumberFormat="1" applyFont="1" applyFill="1" applyBorder="1" applyAlignment="1">
      <alignment horizontal="center"/>
    </xf>
    <xf numFmtId="170" fontId="12" fillId="0" borderId="1" xfId="2" applyNumberFormat="1" applyFont="1" applyFill="1" applyBorder="1" applyAlignment="1">
      <alignment horizontal="center"/>
    </xf>
    <xf numFmtId="41" fontId="24" fillId="0" borderId="0" xfId="18" applyNumberFormat="1" applyFont="1" applyFill="1" applyBorder="1" applyAlignment="1">
      <alignment horizontal="center" vertical="center"/>
    </xf>
    <xf numFmtId="170" fontId="11" fillId="0" borderId="4" xfId="2" applyNumberFormat="1" applyFont="1" applyFill="1" applyBorder="1" applyAlignment="1">
      <alignment horizontal="center" vertical="center"/>
    </xf>
    <xf numFmtId="170" fontId="11" fillId="0" borderId="3" xfId="2" applyNumberFormat="1" applyFont="1" applyFill="1" applyBorder="1" applyAlignment="1">
      <alignment horizontal="left" vertical="center"/>
    </xf>
    <xf numFmtId="37" fontId="14" fillId="0" borderId="0" xfId="21" applyNumberFormat="1" applyFont="1" applyBorder="1" applyAlignment="1">
      <alignment horizontal="center" vertical="center"/>
    </xf>
    <xf numFmtId="37" fontId="11" fillId="0" borderId="0" xfId="21" applyNumberFormat="1" applyFont="1" applyBorder="1" applyAlignment="1">
      <alignment horizontal="center" vertical="center"/>
    </xf>
    <xf numFmtId="37" fontId="12" fillId="0" borderId="1" xfId="21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65" fontId="12" fillId="0" borderId="0" xfId="2" applyFont="1" applyFill="1" applyAlignment="1">
      <alignment vertical="center"/>
    </xf>
    <xf numFmtId="38" fontId="6" fillId="0" borderId="0" xfId="0" applyNumberFormat="1" applyFont="1" applyFill="1" applyBorder="1" applyAlignment="1">
      <alignment horizontal="center"/>
    </xf>
    <xf numFmtId="0" fontId="6" fillId="0" borderId="0" xfId="21" applyFont="1" applyFill="1" applyAlignment="1">
      <alignment wrapText="1"/>
    </xf>
    <xf numFmtId="41" fontId="12" fillId="0" borderId="1" xfId="18" applyNumberFormat="1" applyFont="1" applyFill="1" applyBorder="1" applyAlignment="1">
      <alignment horizontal="right" vertical="center" wrapText="1"/>
    </xf>
    <xf numFmtId="170" fontId="21" fillId="0" borderId="1" xfId="2" applyNumberFormat="1" applyFont="1" applyFill="1" applyBorder="1" applyAlignment="1">
      <alignment horizontal="center" vertical="center"/>
    </xf>
    <xf numFmtId="170" fontId="6" fillId="0" borderId="0" xfId="2" applyNumberFormat="1" applyFont="1" applyFill="1" applyAlignment="1"/>
    <xf numFmtId="165" fontId="12" fillId="0" borderId="1" xfId="2" applyFont="1" applyFill="1" applyBorder="1" applyAlignment="1">
      <alignment vertical="center"/>
    </xf>
    <xf numFmtId="170" fontId="12" fillId="0" borderId="0" xfId="2" applyNumberFormat="1" applyFont="1" applyFill="1" applyAlignment="1">
      <alignment vertical="center"/>
    </xf>
    <xf numFmtId="170" fontId="11" fillId="0" borderId="1" xfId="2" applyNumberFormat="1" applyFont="1" applyFill="1" applyBorder="1" applyAlignment="1">
      <alignment horizontal="center"/>
    </xf>
    <xf numFmtId="170" fontId="5" fillId="0" borderId="5" xfId="2" applyNumberFormat="1" applyFont="1" applyFill="1" applyBorder="1" applyAlignment="1">
      <alignment horizontal="right"/>
    </xf>
    <xf numFmtId="165" fontId="12" fillId="0" borderId="1" xfId="2" applyFont="1" applyFill="1" applyBorder="1" applyAlignment="1"/>
    <xf numFmtId="170" fontId="21" fillId="0" borderId="0" xfId="2" applyNumberFormat="1" applyFont="1" applyFill="1" applyBorder="1" applyAlignment="1">
      <alignment horizontal="right" vertical="center"/>
    </xf>
    <xf numFmtId="43" fontId="6" fillId="0" borderId="0" xfId="2" applyNumberFormat="1" applyFont="1" applyFill="1" applyAlignment="1"/>
    <xf numFmtId="170" fontId="21" fillId="0" borderId="0" xfId="2" applyNumberFormat="1" applyFont="1" applyFill="1" applyBorder="1" applyAlignment="1">
      <alignment horizontal="center"/>
    </xf>
    <xf numFmtId="41" fontId="21" fillId="0" borderId="0" xfId="18" applyNumberFormat="1" applyFont="1" applyFill="1" applyBorder="1" applyAlignment="1">
      <alignment vertical="center"/>
    </xf>
    <xf numFmtId="167" fontId="11" fillId="0" borderId="0" xfId="2" applyNumberFormat="1" applyFont="1" applyFill="1" applyBorder="1" applyAlignment="1">
      <alignment horizontal="center"/>
    </xf>
    <xf numFmtId="167" fontId="11" fillId="0" borderId="1" xfId="2" applyNumberFormat="1" applyFont="1" applyFill="1" applyBorder="1" applyAlignment="1">
      <alignment horizontal="center"/>
    </xf>
    <xf numFmtId="167" fontId="5" fillId="0" borderId="3" xfId="2" applyNumberFormat="1" applyFont="1" applyFill="1" applyBorder="1" applyAlignment="1"/>
    <xf numFmtId="167" fontId="5" fillId="0" borderId="5" xfId="2" applyNumberFormat="1" applyFont="1" applyFill="1" applyBorder="1" applyAlignment="1">
      <alignment horizontal="right"/>
    </xf>
    <xf numFmtId="38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38" fontId="5" fillId="0" borderId="0" xfId="0" applyNumberFormat="1" applyFont="1" applyFill="1" applyBorder="1" applyAlignment="1">
      <alignment horizontal="center"/>
    </xf>
    <xf numFmtId="4" fontId="35" fillId="0" borderId="0" xfId="33" applyNumberFormat="1" applyFill="1"/>
    <xf numFmtId="0" fontId="12" fillId="0" borderId="0" xfId="21" applyFont="1" applyFill="1" applyAlignment="1">
      <alignment horizontal="centerContinuous" vertical="center"/>
    </xf>
    <xf numFmtId="3" fontId="12" fillId="0" borderId="0" xfId="21" applyNumberFormat="1" applyFont="1" applyFill="1" applyAlignment="1">
      <alignment horizontal="centerContinuous" vertical="center"/>
    </xf>
    <xf numFmtId="0" fontId="22" fillId="0" borderId="0" xfId="18" applyFont="1" applyFill="1" applyBorder="1" applyAlignment="1">
      <alignment horizontal="center" vertical="center"/>
    </xf>
    <xf numFmtId="0" fontId="21" fillId="0" borderId="0" xfId="18" applyFont="1" applyFill="1" applyBorder="1" applyAlignment="1">
      <alignment vertical="center"/>
    </xf>
    <xf numFmtId="0" fontId="12" fillId="0" borderId="0" xfId="18" applyFont="1" applyFill="1" applyAlignment="1">
      <alignment horizontal="center" vertical="center"/>
    </xf>
    <xf numFmtId="37" fontId="12" fillId="0" borderId="0" xfId="18" applyNumberFormat="1" applyFont="1" applyFill="1" applyAlignment="1">
      <alignment horizontal="center" vertical="center"/>
    </xf>
    <xf numFmtId="0" fontId="23" fillId="0" borderId="0" xfId="18" applyFont="1" applyFill="1" applyAlignment="1">
      <alignment horizontal="center" vertical="center"/>
    </xf>
    <xf numFmtId="171" fontId="23" fillId="0" borderId="0" xfId="2" applyNumberFormat="1" applyFont="1" applyFill="1" applyBorder="1" applyAlignment="1">
      <alignment horizontal="right" vertical="center"/>
    </xf>
    <xf numFmtId="0" fontId="25" fillId="0" borderId="0" xfId="18" applyFont="1" applyFill="1" applyAlignment="1">
      <alignment horizontal="center" vertical="center"/>
    </xf>
    <xf numFmtId="0" fontId="25" fillId="0" borderId="0" xfId="18" applyFont="1" applyFill="1" applyBorder="1" applyAlignment="1">
      <alignment horizontal="left" vertical="center"/>
    </xf>
    <xf numFmtId="0" fontId="23" fillId="0" borderId="0" xfId="18" applyFont="1" applyFill="1" applyBorder="1" applyAlignment="1">
      <alignment horizontal="center" vertical="center"/>
    </xf>
    <xf numFmtId="0" fontId="21" fillId="0" borderId="0" xfId="21" applyFont="1" applyFill="1" applyAlignment="1">
      <alignment vertical="center"/>
    </xf>
    <xf numFmtId="41" fontId="21" fillId="0" borderId="0" xfId="2" applyNumberFormat="1" applyFont="1" applyFill="1" applyBorder="1" applyAlignment="1">
      <alignment horizontal="center" vertical="center" wrapText="1"/>
    </xf>
    <xf numFmtId="171" fontId="21" fillId="0" borderId="0" xfId="18" applyNumberFormat="1" applyFont="1" applyFill="1" applyBorder="1" applyAlignment="1">
      <alignment horizontal="center" vertical="center"/>
    </xf>
    <xf numFmtId="41" fontId="6" fillId="0" borderId="0" xfId="0" applyNumberFormat="1" applyFont="1"/>
    <xf numFmtId="41" fontId="6" fillId="0" borderId="0" xfId="0" applyNumberFormat="1" applyFont="1" applyAlignment="1">
      <alignment horizontal="center"/>
    </xf>
    <xf numFmtId="41" fontId="6" fillId="0" borderId="1" xfId="0" applyNumberFormat="1" applyFont="1" applyBorder="1" applyAlignment="1">
      <alignment horizontal="center"/>
    </xf>
    <xf numFmtId="37" fontId="6" fillId="0" borderId="0" xfId="21" applyNumberFormat="1" applyFont="1"/>
    <xf numFmtId="41" fontId="6" fillId="0" borderId="0" xfId="0" applyNumberFormat="1" applyFont="1" applyFill="1"/>
    <xf numFmtId="41" fontId="11" fillId="0" borderId="1" xfId="2" applyNumberFormat="1" applyFont="1" applyFill="1" applyBorder="1" applyAlignment="1">
      <alignment horizontal="center"/>
    </xf>
    <xf numFmtId="167" fontId="6" fillId="0" borderId="0" xfId="2" applyNumberFormat="1" applyFont="1" applyFill="1" applyBorder="1" applyAlignment="1"/>
    <xf numFmtId="170" fontId="12" fillId="0" borderId="0" xfId="2" applyNumberFormat="1" applyFont="1" applyFill="1" applyBorder="1" applyAlignment="1">
      <alignment horizontal="left" vertical="center" wrapText="1"/>
    </xf>
    <xf numFmtId="41" fontId="12" fillId="0" borderId="1" xfId="2" applyNumberFormat="1" applyFont="1" applyFill="1" applyBorder="1" applyAlignment="1">
      <alignment horizontal="left" vertical="center" wrapText="1"/>
    </xf>
    <xf numFmtId="41" fontId="21" fillId="0" borderId="0" xfId="18" applyNumberFormat="1" applyFont="1" applyAlignment="1">
      <alignment vertical="center"/>
    </xf>
    <xf numFmtId="165" fontId="11" fillId="0" borderId="3" xfId="2" applyFont="1" applyFill="1" applyBorder="1" applyAlignment="1">
      <alignment horizontal="center"/>
    </xf>
    <xf numFmtId="41" fontId="12" fillId="0" borderId="0" xfId="2" applyNumberFormat="1" applyFont="1" applyFill="1" applyBorder="1" applyAlignment="1">
      <alignment horizontal="left" vertical="center" wrapText="1"/>
    </xf>
    <xf numFmtId="165" fontId="21" fillId="0" borderId="5" xfId="2" applyFont="1" applyFill="1" applyBorder="1" applyAlignment="1">
      <alignment horizontal="center" vertical="center"/>
    </xf>
    <xf numFmtId="41" fontId="21" fillId="0" borderId="1" xfId="18" applyNumberFormat="1" applyFont="1" applyFill="1" applyBorder="1" applyAlignment="1">
      <alignment vertical="center"/>
    </xf>
    <xf numFmtId="167" fontId="6" fillId="0" borderId="0" xfId="2" applyNumberFormat="1" applyFont="1" applyFill="1" applyAlignment="1"/>
    <xf numFmtId="41" fontId="5" fillId="0" borderId="1" xfId="0" applyNumberFormat="1" applyFont="1" applyFill="1" applyBorder="1" applyAlignment="1"/>
    <xf numFmtId="170" fontId="21" fillId="0" borderId="0" xfId="2" applyNumberFormat="1" applyFont="1" applyFill="1" applyBorder="1" applyAlignment="1">
      <alignment horizontal="center" vertical="center"/>
    </xf>
    <xf numFmtId="167" fontId="6" fillId="0" borderId="1" xfId="2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37" fontId="23" fillId="0" borderId="0" xfId="18" applyNumberFormat="1" applyFont="1" applyFill="1" applyBorder="1" applyAlignment="1">
      <alignment horizontal="center" vertical="center"/>
    </xf>
    <xf numFmtId="37" fontId="14" fillId="0" borderId="0" xfId="21" applyNumberFormat="1" applyFont="1" applyBorder="1" applyAlignment="1">
      <alignment horizontal="center" vertical="center"/>
    </xf>
    <xf numFmtId="165" fontId="12" fillId="0" borderId="0" xfId="2" applyFont="1" applyFill="1" applyBorder="1" applyAlignment="1">
      <alignment vertical="center"/>
    </xf>
    <xf numFmtId="41" fontId="6" fillId="0" borderId="1" xfId="2" applyNumberFormat="1" applyFont="1" applyFill="1" applyBorder="1" applyAlignment="1">
      <alignment horizontal="center"/>
    </xf>
    <xf numFmtId="37" fontId="11" fillId="0" borderId="0" xfId="21" applyNumberFormat="1" applyFont="1" applyBorder="1" applyAlignment="1">
      <alignment vertical="center"/>
    </xf>
    <xf numFmtId="37" fontId="12" fillId="0" borderId="0" xfId="21" applyNumberFormat="1" applyFont="1" applyBorder="1" applyAlignment="1">
      <alignment vertical="center"/>
    </xf>
    <xf numFmtId="171" fontId="12" fillId="0" borderId="0" xfId="21" applyNumberFormat="1" applyFont="1" applyFill="1" applyBorder="1" applyAlignment="1">
      <alignment vertical="center"/>
    </xf>
    <xf numFmtId="170" fontId="12" fillId="0" borderId="0" xfId="2" applyNumberFormat="1" applyFont="1" applyFill="1" applyBorder="1" applyAlignment="1">
      <alignment vertical="center"/>
    </xf>
    <xf numFmtId="165" fontId="11" fillId="0" borderId="0" xfId="2" applyFont="1" applyFill="1" applyBorder="1" applyAlignment="1">
      <alignment horizontal="center"/>
    </xf>
    <xf numFmtId="170" fontId="11" fillId="0" borderId="0" xfId="2" applyNumberFormat="1" applyFont="1" applyFill="1" applyBorder="1" applyAlignment="1">
      <alignment horizontal="center" vertical="center" wrapText="1"/>
    </xf>
    <xf numFmtId="41" fontId="12" fillId="0" borderId="1" xfId="2" applyNumberFormat="1" applyFont="1" applyFill="1" applyBorder="1" applyAlignment="1">
      <alignment horizontal="center"/>
    </xf>
    <xf numFmtId="0" fontId="22" fillId="0" borderId="0" xfId="18" applyFont="1" applyFill="1" applyBorder="1" applyAlignment="1">
      <alignment vertical="center"/>
    </xf>
    <xf numFmtId="37" fontId="23" fillId="0" borderId="0" xfId="18" applyNumberFormat="1" applyFont="1" applyFill="1" applyBorder="1" applyAlignment="1">
      <alignment vertical="center"/>
    </xf>
    <xf numFmtId="170" fontId="22" fillId="0" borderId="0" xfId="2" applyNumberFormat="1" applyFont="1" applyFill="1" applyBorder="1" applyAlignment="1">
      <alignment horizontal="center"/>
    </xf>
    <xf numFmtId="165" fontId="5" fillId="0" borderId="0" xfId="2" applyFont="1" applyFill="1" applyAlignment="1"/>
    <xf numFmtId="41" fontId="6" fillId="0" borderId="1" xfId="0" applyNumberFormat="1" applyFont="1" applyFill="1" applyBorder="1"/>
    <xf numFmtId="37" fontId="6" fillId="0" borderId="0" xfId="2" applyNumberFormat="1" applyFont="1" applyFill="1" applyAlignment="1">
      <alignment horizontal="right"/>
    </xf>
    <xf numFmtId="41" fontId="11" fillId="0" borderId="3" xfId="2" applyNumberFormat="1" applyFont="1" applyFill="1" applyBorder="1" applyAlignment="1">
      <alignment horizontal="center" wrapText="1"/>
    </xf>
    <xf numFmtId="165" fontId="11" fillId="0" borderId="4" xfId="2" applyFont="1" applyFill="1" applyBorder="1" applyAlignment="1">
      <alignment horizontal="center"/>
    </xf>
    <xf numFmtId="167" fontId="12" fillId="0" borderId="0" xfId="18" applyNumberFormat="1" applyFont="1" applyFill="1" applyAlignment="1">
      <alignment horizontal="center" vertical="top"/>
    </xf>
    <xf numFmtId="167" fontId="12" fillId="0" borderId="0" xfId="18" applyNumberFormat="1" applyFont="1" applyFill="1" applyBorder="1" applyAlignment="1">
      <alignment horizontal="center" vertical="top"/>
    </xf>
    <xf numFmtId="38" fontId="5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38" fontId="6" fillId="0" borderId="0" xfId="0" applyNumberFormat="1" applyFont="1" applyFill="1" applyBorder="1" applyAlignment="1">
      <alignment horizontal="center"/>
    </xf>
    <xf numFmtId="38" fontId="6" fillId="0" borderId="0" xfId="0" applyNumberFormat="1" applyFont="1" applyFill="1" applyBorder="1" applyAlignment="1">
      <alignment horizontal="center" wrapText="1"/>
    </xf>
    <xf numFmtId="37" fontId="23" fillId="0" borderId="0" xfId="18" applyNumberFormat="1" applyFont="1" applyFill="1" applyBorder="1" applyAlignment="1">
      <alignment horizontal="center" vertical="center"/>
    </xf>
    <xf numFmtId="0" fontId="22" fillId="0" borderId="0" xfId="18" applyFont="1" applyFill="1" applyBorder="1" applyAlignment="1">
      <alignment horizontal="center" vertical="center"/>
    </xf>
    <xf numFmtId="37" fontId="21" fillId="0" borderId="1" xfId="18" applyNumberFormat="1" applyFont="1" applyFill="1" applyBorder="1" applyAlignment="1">
      <alignment horizontal="center" vertical="center"/>
    </xf>
    <xf numFmtId="0" fontId="21" fillId="0" borderId="1" xfId="18" applyFont="1" applyFill="1" applyBorder="1" applyAlignment="1">
      <alignment horizontal="center" vertical="center"/>
    </xf>
    <xf numFmtId="0" fontId="21" fillId="0" borderId="2" xfId="18" applyFont="1" applyFill="1" applyBorder="1" applyAlignment="1">
      <alignment horizontal="center" vertical="center"/>
    </xf>
    <xf numFmtId="37" fontId="12" fillId="0" borderId="1" xfId="21" applyNumberFormat="1" applyFont="1" applyBorder="1" applyAlignment="1">
      <alignment horizontal="center" vertical="center"/>
    </xf>
    <xf numFmtId="37" fontId="11" fillId="0" borderId="0" xfId="21" applyNumberFormat="1" applyFont="1" applyBorder="1" applyAlignment="1">
      <alignment horizontal="center" vertical="center"/>
    </xf>
    <xf numFmtId="37" fontId="14" fillId="0" borderId="0" xfId="21" applyNumberFormat="1" applyFont="1" applyBorder="1" applyAlignment="1">
      <alignment horizontal="center" vertical="center"/>
    </xf>
    <xf numFmtId="38" fontId="6" fillId="0" borderId="0" xfId="0" applyNumberFormat="1" applyFont="1" applyAlignment="1">
      <alignment horizontal="left" vertical="top"/>
    </xf>
    <xf numFmtId="0" fontId="6" fillId="0" borderId="0" xfId="0" applyFont="1" applyFill="1" applyAlignment="1">
      <alignment horizontal="left" vertical="top" wrapText="1"/>
    </xf>
  </cellXfs>
  <cellStyles count="39">
    <cellStyle name="Calculation 2" xfId="1"/>
    <cellStyle name="Comma" xfId="2" builtinId="3"/>
    <cellStyle name="Comma 10" xfId="3"/>
    <cellStyle name="Comma 2" xfId="4"/>
    <cellStyle name="Comma 2 2" xfId="5"/>
    <cellStyle name="Comma 2 3" xfId="6"/>
    <cellStyle name="Comma 3" xfId="7"/>
    <cellStyle name="Comma 3 2" xfId="8"/>
    <cellStyle name="Comma 4" xfId="9"/>
    <cellStyle name="Comma 4 2" xfId="10"/>
    <cellStyle name="Comma 5" xfId="11"/>
    <cellStyle name="Comma 6" xfId="12"/>
    <cellStyle name="Comma 7" xfId="13"/>
    <cellStyle name="Comma_KCE01Y" xfId="14"/>
    <cellStyle name="Comma_KCE44Y" xfId="15"/>
    <cellStyle name="Comma_Lia" xfId="16"/>
    <cellStyle name="Currency 2" xfId="17"/>
    <cellStyle name="Normal" xfId="0" builtinId="0"/>
    <cellStyle name="Normal 2" xfId="18"/>
    <cellStyle name="Normal 2 2" xfId="19"/>
    <cellStyle name="Normal 2 3" xfId="20"/>
    <cellStyle name="Normal 3" xfId="21"/>
    <cellStyle name="Normal 3 2" xfId="22"/>
    <cellStyle name="Normal 3 2 2" xfId="23"/>
    <cellStyle name="Normal 3 3" xfId="24"/>
    <cellStyle name="Normal 4" xfId="25"/>
    <cellStyle name="Normal 4 2" xfId="26"/>
    <cellStyle name="Normal 4 3" xfId="27"/>
    <cellStyle name="Normal 5" xfId="28"/>
    <cellStyle name="Normal 5 2" xfId="29"/>
    <cellStyle name="Normal 6" xfId="30"/>
    <cellStyle name="Normal 6 2" xfId="31"/>
    <cellStyle name="Normal 7" xfId="32"/>
    <cellStyle name="Normal 8" xfId="33"/>
    <cellStyle name="Normal_KCE01Y" xfId="34"/>
    <cellStyle name="Normal_KCE44Y" xfId="35"/>
    <cellStyle name="Percent 2" xfId="36"/>
    <cellStyle name="Percent 3" xfId="37"/>
    <cellStyle name="Tickmark" xfId="3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45" name="Text Box 1">
          <a:extLst>
            <a:ext uri="{FF2B5EF4-FFF2-40B4-BE49-F238E27FC236}">
              <a16:creationId xmlns:a16="http://schemas.microsoft.com/office/drawing/2014/main" xmlns="" id="{C91454D7-BA1D-496D-8D94-1EB7F28A7DBC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46" name="Text Box 8">
          <a:extLst>
            <a:ext uri="{FF2B5EF4-FFF2-40B4-BE49-F238E27FC236}">
              <a16:creationId xmlns:a16="http://schemas.microsoft.com/office/drawing/2014/main" xmlns="" id="{E0C41075-DE9C-4273-BCFF-E51241D19A48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47" name="Text Box 9">
          <a:extLst>
            <a:ext uri="{FF2B5EF4-FFF2-40B4-BE49-F238E27FC236}">
              <a16:creationId xmlns:a16="http://schemas.microsoft.com/office/drawing/2014/main" xmlns="" id="{A0ED3D8E-A285-4B3B-97D9-B879413B90DE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48" name="Text Box 10">
          <a:extLst>
            <a:ext uri="{FF2B5EF4-FFF2-40B4-BE49-F238E27FC236}">
              <a16:creationId xmlns:a16="http://schemas.microsoft.com/office/drawing/2014/main" xmlns="" id="{EE20A8E3-F141-4DD7-8F3F-748D81AF13FD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49" name="Text Box 41">
          <a:extLst>
            <a:ext uri="{FF2B5EF4-FFF2-40B4-BE49-F238E27FC236}">
              <a16:creationId xmlns:a16="http://schemas.microsoft.com/office/drawing/2014/main" xmlns="" id="{3E9A8836-5E0A-496C-8593-4FDB8850416A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0" name="Text Box 43">
          <a:extLst>
            <a:ext uri="{FF2B5EF4-FFF2-40B4-BE49-F238E27FC236}">
              <a16:creationId xmlns:a16="http://schemas.microsoft.com/office/drawing/2014/main" xmlns="" id="{2F196198-7112-415B-B6A4-E6973281B7C1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1" name="Text Box 1">
          <a:extLst>
            <a:ext uri="{FF2B5EF4-FFF2-40B4-BE49-F238E27FC236}">
              <a16:creationId xmlns:a16="http://schemas.microsoft.com/office/drawing/2014/main" xmlns="" id="{0DAADD3A-E8B5-4554-A57A-A2D7AFD4D578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2" name="Text Box 8">
          <a:extLst>
            <a:ext uri="{FF2B5EF4-FFF2-40B4-BE49-F238E27FC236}">
              <a16:creationId xmlns:a16="http://schemas.microsoft.com/office/drawing/2014/main" xmlns="" id="{591EDD8A-8447-4DA1-96E6-4EE33C9AB45F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3" name="Text Box 9">
          <a:extLst>
            <a:ext uri="{FF2B5EF4-FFF2-40B4-BE49-F238E27FC236}">
              <a16:creationId xmlns:a16="http://schemas.microsoft.com/office/drawing/2014/main" xmlns="" id="{E83423EB-549C-4799-BFDD-8DB76B21B947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4" name="Text Box 10">
          <a:extLst>
            <a:ext uri="{FF2B5EF4-FFF2-40B4-BE49-F238E27FC236}">
              <a16:creationId xmlns:a16="http://schemas.microsoft.com/office/drawing/2014/main" xmlns="" id="{F1D99C95-6762-430A-8F12-BC158136024A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5" name="Text Box 41">
          <a:extLst>
            <a:ext uri="{FF2B5EF4-FFF2-40B4-BE49-F238E27FC236}">
              <a16:creationId xmlns:a16="http://schemas.microsoft.com/office/drawing/2014/main" xmlns="" id="{EBB3C812-C4D9-476B-93F9-C0B67037D331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6" name="Text Box 43">
          <a:extLst>
            <a:ext uri="{FF2B5EF4-FFF2-40B4-BE49-F238E27FC236}">
              <a16:creationId xmlns:a16="http://schemas.microsoft.com/office/drawing/2014/main" xmlns="" id="{5424E19D-D6A8-4526-BAF2-4DCFD821B5EC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7" name="Text Box 1">
          <a:extLst>
            <a:ext uri="{FF2B5EF4-FFF2-40B4-BE49-F238E27FC236}">
              <a16:creationId xmlns:a16="http://schemas.microsoft.com/office/drawing/2014/main" xmlns="" id="{F301DDEA-8C3B-4DF8-83DD-D9829E8F3C5D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8" name="Text Box 8">
          <a:extLst>
            <a:ext uri="{FF2B5EF4-FFF2-40B4-BE49-F238E27FC236}">
              <a16:creationId xmlns:a16="http://schemas.microsoft.com/office/drawing/2014/main" xmlns="" id="{DB0877F6-CC4C-474E-8C11-9E2A9E2AC1E5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59" name="Text Box 9">
          <a:extLst>
            <a:ext uri="{FF2B5EF4-FFF2-40B4-BE49-F238E27FC236}">
              <a16:creationId xmlns:a16="http://schemas.microsoft.com/office/drawing/2014/main" xmlns="" id="{10AD85C7-FB20-4B03-A141-103FBBB8903A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0" name="Text Box 10">
          <a:extLst>
            <a:ext uri="{FF2B5EF4-FFF2-40B4-BE49-F238E27FC236}">
              <a16:creationId xmlns:a16="http://schemas.microsoft.com/office/drawing/2014/main" xmlns="" id="{B320A8AE-1A75-4DE3-B582-A5473F262698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1" name="Text Box 41">
          <a:extLst>
            <a:ext uri="{FF2B5EF4-FFF2-40B4-BE49-F238E27FC236}">
              <a16:creationId xmlns:a16="http://schemas.microsoft.com/office/drawing/2014/main" xmlns="" id="{C95D5CBF-32C1-4191-9FC9-74AB3483F7FC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2" name="Text Box 43">
          <a:extLst>
            <a:ext uri="{FF2B5EF4-FFF2-40B4-BE49-F238E27FC236}">
              <a16:creationId xmlns:a16="http://schemas.microsoft.com/office/drawing/2014/main" xmlns="" id="{87506FC4-D9AB-49C8-B7E0-677A13A49EBC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3" name="Text Box 1">
          <a:extLst>
            <a:ext uri="{FF2B5EF4-FFF2-40B4-BE49-F238E27FC236}">
              <a16:creationId xmlns:a16="http://schemas.microsoft.com/office/drawing/2014/main" xmlns="" id="{CCDF9C05-DDC7-4CA6-BA41-A89355FFA6C3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4" name="Text Box 8">
          <a:extLst>
            <a:ext uri="{FF2B5EF4-FFF2-40B4-BE49-F238E27FC236}">
              <a16:creationId xmlns:a16="http://schemas.microsoft.com/office/drawing/2014/main" xmlns="" id="{F7C41A06-9888-4D9C-A3B2-7DA9244EE41D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5" name="Text Box 9">
          <a:extLst>
            <a:ext uri="{FF2B5EF4-FFF2-40B4-BE49-F238E27FC236}">
              <a16:creationId xmlns:a16="http://schemas.microsoft.com/office/drawing/2014/main" xmlns="" id="{6B4BF9D5-52B2-4A20-ADD8-A11053C5F577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6" name="Text Box 10">
          <a:extLst>
            <a:ext uri="{FF2B5EF4-FFF2-40B4-BE49-F238E27FC236}">
              <a16:creationId xmlns:a16="http://schemas.microsoft.com/office/drawing/2014/main" xmlns="" id="{3C5EB263-3A7A-495B-B96F-5DB2F03FF488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7" name="Text Box 41">
          <a:extLst>
            <a:ext uri="{FF2B5EF4-FFF2-40B4-BE49-F238E27FC236}">
              <a16:creationId xmlns:a16="http://schemas.microsoft.com/office/drawing/2014/main" xmlns="" id="{EA2AF49D-52EB-439A-A7AA-1AE9AC4354FA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88</xdr:row>
      <xdr:rowOff>0</xdr:rowOff>
    </xdr:from>
    <xdr:to>
      <xdr:col>0</xdr:col>
      <xdr:colOff>1416050</xdr:colOff>
      <xdr:row>88</xdr:row>
      <xdr:rowOff>63500</xdr:rowOff>
    </xdr:to>
    <xdr:sp macro="" textlink="">
      <xdr:nvSpPr>
        <xdr:cNvPr id="14868" name="Text Box 43">
          <a:extLst>
            <a:ext uri="{FF2B5EF4-FFF2-40B4-BE49-F238E27FC236}">
              <a16:creationId xmlns:a16="http://schemas.microsoft.com/office/drawing/2014/main" xmlns="" id="{3E793197-F645-4C0C-BEBE-EA091149417F}"/>
            </a:ext>
          </a:extLst>
        </xdr:cNvPr>
        <xdr:cNvSpPr txBox="1">
          <a:spLocks noChangeArrowheads="1"/>
        </xdr:cNvSpPr>
      </xdr:nvSpPr>
      <xdr:spPr bwMode="auto">
        <a:xfrm>
          <a:off x="1390650" y="23101300"/>
          <a:ext cx="31750" cy="6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69" name="Text Box 1">
          <a:extLst>
            <a:ext uri="{FF2B5EF4-FFF2-40B4-BE49-F238E27FC236}">
              <a16:creationId xmlns:a16="http://schemas.microsoft.com/office/drawing/2014/main" xmlns="" id="{DF4E5CEC-B129-4CE0-8942-4D3E6043F8E8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0" name="Text Box 8">
          <a:extLst>
            <a:ext uri="{FF2B5EF4-FFF2-40B4-BE49-F238E27FC236}">
              <a16:creationId xmlns:a16="http://schemas.microsoft.com/office/drawing/2014/main" xmlns="" id="{1554FBF9-2434-40F1-B992-2962AD75953E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1" name="Text Box 9">
          <a:extLst>
            <a:ext uri="{FF2B5EF4-FFF2-40B4-BE49-F238E27FC236}">
              <a16:creationId xmlns:a16="http://schemas.microsoft.com/office/drawing/2014/main" xmlns="" id="{98D53184-7CB9-47BE-9A31-7604F804C69C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2" name="Text Box 10">
          <a:extLst>
            <a:ext uri="{FF2B5EF4-FFF2-40B4-BE49-F238E27FC236}">
              <a16:creationId xmlns:a16="http://schemas.microsoft.com/office/drawing/2014/main" xmlns="" id="{A9AE1331-57AC-4F4F-AA5D-9BDE99B95EA1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3" name="Text Box 41">
          <a:extLst>
            <a:ext uri="{FF2B5EF4-FFF2-40B4-BE49-F238E27FC236}">
              <a16:creationId xmlns:a16="http://schemas.microsoft.com/office/drawing/2014/main" xmlns="" id="{CFEBC93C-0C1A-41CA-B5EF-1B5199424BE6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4" name="Text Box 43">
          <a:extLst>
            <a:ext uri="{FF2B5EF4-FFF2-40B4-BE49-F238E27FC236}">
              <a16:creationId xmlns:a16="http://schemas.microsoft.com/office/drawing/2014/main" xmlns="" id="{801034C2-1BC5-4496-B67B-FE93AA436CBE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5" name="Text Box 1">
          <a:extLst>
            <a:ext uri="{FF2B5EF4-FFF2-40B4-BE49-F238E27FC236}">
              <a16:creationId xmlns:a16="http://schemas.microsoft.com/office/drawing/2014/main" xmlns="" id="{64D027C1-40A6-427A-95C0-B7742013AE33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6" name="Text Box 8">
          <a:extLst>
            <a:ext uri="{FF2B5EF4-FFF2-40B4-BE49-F238E27FC236}">
              <a16:creationId xmlns:a16="http://schemas.microsoft.com/office/drawing/2014/main" xmlns="" id="{5E33DE7D-8C43-48F9-BF98-D3D6BFD7EAF4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7" name="Text Box 9">
          <a:extLst>
            <a:ext uri="{FF2B5EF4-FFF2-40B4-BE49-F238E27FC236}">
              <a16:creationId xmlns:a16="http://schemas.microsoft.com/office/drawing/2014/main" xmlns="" id="{8AE92089-4672-42FC-9B07-A7D52785DDB0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8" name="Text Box 10">
          <a:extLst>
            <a:ext uri="{FF2B5EF4-FFF2-40B4-BE49-F238E27FC236}">
              <a16:creationId xmlns:a16="http://schemas.microsoft.com/office/drawing/2014/main" xmlns="" id="{6D3FF1C5-0CD0-4393-98CE-3F3C6533FF1E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79" name="Text Box 41">
          <a:extLst>
            <a:ext uri="{FF2B5EF4-FFF2-40B4-BE49-F238E27FC236}">
              <a16:creationId xmlns:a16="http://schemas.microsoft.com/office/drawing/2014/main" xmlns="" id="{1D614B30-360D-4F20-A04D-F4AEFF3CECEA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0" name="Text Box 43">
          <a:extLst>
            <a:ext uri="{FF2B5EF4-FFF2-40B4-BE49-F238E27FC236}">
              <a16:creationId xmlns:a16="http://schemas.microsoft.com/office/drawing/2014/main" xmlns="" id="{5A0AAAF2-D52D-466C-BAE3-FC26BF382751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1" name="Text Box 1">
          <a:extLst>
            <a:ext uri="{FF2B5EF4-FFF2-40B4-BE49-F238E27FC236}">
              <a16:creationId xmlns:a16="http://schemas.microsoft.com/office/drawing/2014/main" xmlns="" id="{951B94CA-DC4E-4611-BEDD-D10623441BD2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2" name="Text Box 8">
          <a:extLst>
            <a:ext uri="{FF2B5EF4-FFF2-40B4-BE49-F238E27FC236}">
              <a16:creationId xmlns:a16="http://schemas.microsoft.com/office/drawing/2014/main" xmlns="" id="{29AD4F48-9EC6-4DFA-9387-6621015B2581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3" name="Text Box 9">
          <a:extLst>
            <a:ext uri="{FF2B5EF4-FFF2-40B4-BE49-F238E27FC236}">
              <a16:creationId xmlns:a16="http://schemas.microsoft.com/office/drawing/2014/main" xmlns="" id="{FE6B6DBD-182F-4DD5-801B-AB8155FA2375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4" name="Text Box 10">
          <a:extLst>
            <a:ext uri="{FF2B5EF4-FFF2-40B4-BE49-F238E27FC236}">
              <a16:creationId xmlns:a16="http://schemas.microsoft.com/office/drawing/2014/main" xmlns="" id="{44FE6A0D-57BD-4084-A03F-B0DC61B3FBD5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5" name="Text Box 41">
          <a:extLst>
            <a:ext uri="{FF2B5EF4-FFF2-40B4-BE49-F238E27FC236}">
              <a16:creationId xmlns:a16="http://schemas.microsoft.com/office/drawing/2014/main" xmlns="" id="{637C6E12-2D39-4FF3-8EE4-E134BED52E35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75</xdr:row>
      <xdr:rowOff>0</xdr:rowOff>
    </xdr:from>
    <xdr:to>
      <xdr:col>0</xdr:col>
      <xdr:colOff>1454150</xdr:colOff>
      <xdr:row>75</xdr:row>
      <xdr:rowOff>254000</xdr:rowOff>
    </xdr:to>
    <xdr:sp macro="" textlink="">
      <xdr:nvSpPr>
        <xdr:cNvPr id="14886" name="Text Box 43">
          <a:extLst>
            <a:ext uri="{FF2B5EF4-FFF2-40B4-BE49-F238E27FC236}">
              <a16:creationId xmlns:a16="http://schemas.microsoft.com/office/drawing/2014/main" xmlns="" id="{416FA833-8F8D-4AB3-B185-BC2CFC8140DC}"/>
            </a:ext>
          </a:extLst>
        </xdr:cNvPr>
        <xdr:cNvSpPr txBox="1">
          <a:spLocks noChangeArrowheads="1"/>
        </xdr:cNvSpPr>
      </xdr:nvSpPr>
      <xdr:spPr bwMode="auto">
        <a:xfrm>
          <a:off x="1390650" y="19361150"/>
          <a:ext cx="698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1384300</xdr:colOff>
      <xdr:row>0</xdr:row>
      <xdr:rowOff>0</xdr:rowOff>
    </xdr:from>
    <xdr:to>
      <xdr:col>0</xdr:col>
      <xdr:colOff>1390650</xdr:colOff>
      <xdr:row>0</xdr:row>
      <xdr:rowOff>44450</xdr:rowOff>
    </xdr:to>
    <xdr:sp macro="" textlink="">
      <xdr:nvSpPr>
        <xdr:cNvPr id="15505" name="Text Box 1">
          <a:extLst>
            <a:ext uri="{FF2B5EF4-FFF2-40B4-BE49-F238E27FC236}">
              <a16:creationId xmlns:a16="http://schemas.microsoft.com/office/drawing/2014/main" xmlns="" id="{34F285D4-6B24-4915-B409-BBA24B9E4B28}"/>
            </a:ext>
          </a:extLst>
        </xdr:cNvPr>
        <xdr:cNvSpPr txBox="1">
          <a:spLocks noChangeArrowheads="1"/>
        </xdr:cNvSpPr>
      </xdr:nvSpPr>
      <xdr:spPr bwMode="auto">
        <a:xfrm>
          <a:off x="1384300" y="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0</xdr:row>
      <xdr:rowOff>0</xdr:rowOff>
    </xdr:from>
    <xdr:to>
      <xdr:col>0</xdr:col>
      <xdr:colOff>1390650</xdr:colOff>
      <xdr:row>0</xdr:row>
      <xdr:rowOff>44450</xdr:rowOff>
    </xdr:to>
    <xdr:sp macro="" textlink="">
      <xdr:nvSpPr>
        <xdr:cNvPr id="15506" name="Text Box 8">
          <a:extLst>
            <a:ext uri="{FF2B5EF4-FFF2-40B4-BE49-F238E27FC236}">
              <a16:creationId xmlns:a16="http://schemas.microsoft.com/office/drawing/2014/main" xmlns="" id="{671A3E43-7B67-41DE-98E5-83375D841741}"/>
            </a:ext>
          </a:extLst>
        </xdr:cNvPr>
        <xdr:cNvSpPr txBox="1">
          <a:spLocks noChangeArrowheads="1"/>
        </xdr:cNvSpPr>
      </xdr:nvSpPr>
      <xdr:spPr bwMode="auto">
        <a:xfrm>
          <a:off x="1384300" y="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0</xdr:row>
      <xdr:rowOff>0</xdr:rowOff>
    </xdr:from>
    <xdr:to>
      <xdr:col>0</xdr:col>
      <xdr:colOff>1390650</xdr:colOff>
      <xdr:row>0</xdr:row>
      <xdr:rowOff>44450</xdr:rowOff>
    </xdr:to>
    <xdr:sp macro="" textlink="">
      <xdr:nvSpPr>
        <xdr:cNvPr id="15507" name="Text Box 9">
          <a:extLst>
            <a:ext uri="{FF2B5EF4-FFF2-40B4-BE49-F238E27FC236}">
              <a16:creationId xmlns:a16="http://schemas.microsoft.com/office/drawing/2014/main" xmlns="" id="{952200C8-A52A-41C9-BDD9-F8F65CFA4E5A}"/>
            </a:ext>
          </a:extLst>
        </xdr:cNvPr>
        <xdr:cNvSpPr txBox="1">
          <a:spLocks noChangeArrowheads="1"/>
        </xdr:cNvSpPr>
      </xdr:nvSpPr>
      <xdr:spPr bwMode="auto">
        <a:xfrm>
          <a:off x="1384300" y="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0</xdr:row>
      <xdr:rowOff>0</xdr:rowOff>
    </xdr:from>
    <xdr:to>
      <xdr:col>0</xdr:col>
      <xdr:colOff>1390650</xdr:colOff>
      <xdr:row>0</xdr:row>
      <xdr:rowOff>44450</xdr:rowOff>
    </xdr:to>
    <xdr:sp macro="" textlink="">
      <xdr:nvSpPr>
        <xdr:cNvPr id="15508" name="Text Box 10">
          <a:extLst>
            <a:ext uri="{FF2B5EF4-FFF2-40B4-BE49-F238E27FC236}">
              <a16:creationId xmlns:a16="http://schemas.microsoft.com/office/drawing/2014/main" xmlns="" id="{33BD9F6C-0DCD-4DF5-84C6-10BE3A72D817}"/>
            </a:ext>
          </a:extLst>
        </xdr:cNvPr>
        <xdr:cNvSpPr txBox="1">
          <a:spLocks noChangeArrowheads="1"/>
        </xdr:cNvSpPr>
      </xdr:nvSpPr>
      <xdr:spPr bwMode="auto">
        <a:xfrm>
          <a:off x="1384300" y="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0</xdr:row>
      <xdr:rowOff>0</xdr:rowOff>
    </xdr:from>
    <xdr:to>
      <xdr:col>0</xdr:col>
      <xdr:colOff>1390650</xdr:colOff>
      <xdr:row>0</xdr:row>
      <xdr:rowOff>44450</xdr:rowOff>
    </xdr:to>
    <xdr:sp macro="" textlink="">
      <xdr:nvSpPr>
        <xdr:cNvPr id="15509" name="Text Box 41">
          <a:extLst>
            <a:ext uri="{FF2B5EF4-FFF2-40B4-BE49-F238E27FC236}">
              <a16:creationId xmlns:a16="http://schemas.microsoft.com/office/drawing/2014/main" xmlns="" id="{12965845-08AE-4091-BC91-CA846BB4C2B0}"/>
            </a:ext>
          </a:extLst>
        </xdr:cNvPr>
        <xdr:cNvSpPr txBox="1">
          <a:spLocks noChangeArrowheads="1"/>
        </xdr:cNvSpPr>
      </xdr:nvSpPr>
      <xdr:spPr bwMode="auto">
        <a:xfrm>
          <a:off x="1384300" y="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0</xdr:row>
      <xdr:rowOff>0</xdr:rowOff>
    </xdr:from>
    <xdr:to>
      <xdr:col>0</xdr:col>
      <xdr:colOff>1390650</xdr:colOff>
      <xdr:row>0</xdr:row>
      <xdr:rowOff>44450</xdr:rowOff>
    </xdr:to>
    <xdr:sp macro="" textlink="">
      <xdr:nvSpPr>
        <xdr:cNvPr id="15510" name="Text Box 43">
          <a:extLst>
            <a:ext uri="{FF2B5EF4-FFF2-40B4-BE49-F238E27FC236}">
              <a16:creationId xmlns:a16="http://schemas.microsoft.com/office/drawing/2014/main" xmlns="" id="{5806B674-65C4-4434-A7BD-477D43B0D66E}"/>
            </a:ext>
          </a:extLst>
        </xdr:cNvPr>
        <xdr:cNvSpPr txBox="1">
          <a:spLocks noChangeArrowheads="1"/>
        </xdr:cNvSpPr>
      </xdr:nvSpPr>
      <xdr:spPr bwMode="auto">
        <a:xfrm>
          <a:off x="1384300" y="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44</xdr:row>
      <xdr:rowOff>0</xdr:rowOff>
    </xdr:from>
    <xdr:to>
      <xdr:col>0</xdr:col>
      <xdr:colOff>1390650</xdr:colOff>
      <xdr:row>44</xdr:row>
      <xdr:rowOff>44450</xdr:rowOff>
    </xdr:to>
    <xdr:sp macro="" textlink="">
      <xdr:nvSpPr>
        <xdr:cNvPr id="15511" name="Text Box 1">
          <a:extLst>
            <a:ext uri="{FF2B5EF4-FFF2-40B4-BE49-F238E27FC236}">
              <a16:creationId xmlns:a16="http://schemas.microsoft.com/office/drawing/2014/main" xmlns="" id="{A323D262-0631-4691-90AE-E7911B5700FA}"/>
            </a:ext>
          </a:extLst>
        </xdr:cNvPr>
        <xdr:cNvSpPr txBox="1">
          <a:spLocks noChangeArrowheads="1"/>
        </xdr:cNvSpPr>
      </xdr:nvSpPr>
      <xdr:spPr bwMode="auto">
        <a:xfrm>
          <a:off x="1384300" y="116713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44</xdr:row>
      <xdr:rowOff>0</xdr:rowOff>
    </xdr:from>
    <xdr:to>
      <xdr:col>0</xdr:col>
      <xdr:colOff>1390650</xdr:colOff>
      <xdr:row>44</xdr:row>
      <xdr:rowOff>44450</xdr:rowOff>
    </xdr:to>
    <xdr:sp macro="" textlink="">
      <xdr:nvSpPr>
        <xdr:cNvPr id="15512" name="Text Box 8">
          <a:extLst>
            <a:ext uri="{FF2B5EF4-FFF2-40B4-BE49-F238E27FC236}">
              <a16:creationId xmlns:a16="http://schemas.microsoft.com/office/drawing/2014/main" xmlns="" id="{193EA37B-00A5-4B8D-9C08-4B4F68E6FBBA}"/>
            </a:ext>
          </a:extLst>
        </xdr:cNvPr>
        <xdr:cNvSpPr txBox="1">
          <a:spLocks noChangeArrowheads="1"/>
        </xdr:cNvSpPr>
      </xdr:nvSpPr>
      <xdr:spPr bwMode="auto">
        <a:xfrm>
          <a:off x="1384300" y="116713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44</xdr:row>
      <xdr:rowOff>0</xdr:rowOff>
    </xdr:from>
    <xdr:to>
      <xdr:col>0</xdr:col>
      <xdr:colOff>1390650</xdr:colOff>
      <xdr:row>44</xdr:row>
      <xdr:rowOff>44450</xdr:rowOff>
    </xdr:to>
    <xdr:sp macro="" textlink="">
      <xdr:nvSpPr>
        <xdr:cNvPr id="15513" name="Text Box 9">
          <a:extLst>
            <a:ext uri="{FF2B5EF4-FFF2-40B4-BE49-F238E27FC236}">
              <a16:creationId xmlns:a16="http://schemas.microsoft.com/office/drawing/2014/main" xmlns="" id="{49255770-FDAB-459D-B6E2-AE7E4706108E}"/>
            </a:ext>
          </a:extLst>
        </xdr:cNvPr>
        <xdr:cNvSpPr txBox="1">
          <a:spLocks noChangeArrowheads="1"/>
        </xdr:cNvSpPr>
      </xdr:nvSpPr>
      <xdr:spPr bwMode="auto">
        <a:xfrm>
          <a:off x="1384300" y="116713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44</xdr:row>
      <xdr:rowOff>0</xdr:rowOff>
    </xdr:from>
    <xdr:to>
      <xdr:col>0</xdr:col>
      <xdr:colOff>1390650</xdr:colOff>
      <xdr:row>44</xdr:row>
      <xdr:rowOff>44450</xdr:rowOff>
    </xdr:to>
    <xdr:sp macro="" textlink="">
      <xdr:nvSpPr>
        <xdr:cNvPr id="15514" name="Text Box 10">
          <a:extLst>
            <a:ext uri="{FF2B5EF4-FFF2-40B4-BE49-F238E27FC236}">
              <a16:creationId xmlns:a16="http://schemas.microsoft.com/office/drawing/2014/main" xmlns="" id="{74DC936A-1BA8-4E3D-A68C-36531109DB08}"/>
            </a:ext>
          </a:extLst>
        </xdr:cNvPr>
        <xdr:cNvSpPr txBox="1">
          <a:spLocks noChangeArrowheads="1"/>
        </xdr:cNvSpPr>
      </xdr:nvSpPr>
      <xdr:spPr bwMode="auto">
        <a:xfrm>
          <a:off x="1384300" y="116713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44</xdr:row>
      <xdr:rowOff>0</xdr:rowOff>
    </xdr:from>
    <xdr:to>
      <xdr:col>0</xdr:col>
      <xdr:colOff>1390650</xdr:colOff>
      <xdr:row>44</xdr:row>
      <xdr:rowOff>44450</xdr:rowOff>
    </xdr:to>
    <xdr:sp macro="" textlink="">
      <xdr:nvSpPr>
        <xdr:cNvPr id="15515" name="Text Box 41">
          <a:extLst>
            <a:ext uri="{FF2B5EF4-FFF2-40B4-BE49-F238E27FC236}">
              <a16:creationId xmlns:a16="http://schemas.microsoft.com/office/drawing/2014/main" xmlns="" id="{BE919DB6-AEE2-4B5D-A5F6-39C46B75C88F}"/>
            </a:ext>
          </a:extLst>
        </xdr:cNvPr>
        <xdr:cNvSpPr txBox="1">
          <a:spLocks noChangeArrowheads="1"/>
        </xdr:cNvSpPr>
      </xdr:nvSpPr>
      <xdr:spPr bwMode="auto">
        <a:xfrm>
          <a:off x="1384300" y="116713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44</xdr:row>
      <xdr:rowOff>0</xdr:rowOff>
    </xdr:from>
    <xdr:to>
      <xdr:col>0</xdr:col>
      <xdr:colOff>1390650</xdr:colOff>
      <xdr:row>44</xdr:row>
      <xdr:rowOff>44450</xdr:rowOff>
    </xdr:to>
    <xdr:sp macro="" textlink="">
      <xdr:nvSpPr>
        <xdr:cNvPr id="15516" name="Text Box 43">
          <a:extLst>
            <a:ext uri="{FF2B5EF4-FFF2-40B4-BE49-F238E27FC236}">
              <a16:creationId xmlns:a16="http://schemas.microsoft.com/office/drawing/2014/main" xmlns="" id="{CA9D8F51-F108-4A68-9949-BE83FE9FFAFC}"/>
            </a:ext>
          </a:extLst>
        </xdr:cNvPr>
        <xdr:cNvSpPr txBox="1">
          <a:spLocks noChangeArrowheads="1"/>
        </xdr:cNvSpPr>
      </xdr:nvSpPr>
      <xdr:spPr bwMode="auto">
        <a:xfrm>
          <a:off x="1384300" y="116713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17" name="Text Box 1">
          <a:extLst>
            <a:ext uri="{FF2B5EF4-FFF2-40B4-BE49-F238E27FC236}">
              <a16:creationId xmlns:a16="http://schemas.microsoft.com/office/drawing/2014/main" xmlns="" id="{1680BC28-5CE1-4FC4-BF0B-3CB866687E4C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18" name="Text Box 8">
          <a:extLst>
            <a:ext uri="{FF2B5EF4-FFF2-40B4-BE49-F238E27FC236}">
              <a16:creationId xmlns:a16="http://schemas.microsoft.com/office/drawing/2014/main" xmlns="" id="{2BF41528-34B1-438F-BB31-3BB82922B93C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19" name="Text Box 9">
          <a:extLst>
            <a:ext uri="{FF2B5EF4-FFF2-40B4-BE49-F238E27FC236}">
              <a16:creationId xmlns:a16="http://schemas.microsoft.com/office/drawing/2014/main" xmlns="" id="{A245BBE8-17FF-40A7-8CBE-AE277807A51B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0" name="Text Box 10">
          <a:extLst>
            <a:ext uri="{FF2B5EF4-FFF2-40B4-BE49-F238E27FC236}">
              <a16:creationId xmlns:a16="http://schemas.microsoft.com/office/drawing/2014/main" xmlns="" id="{DBAD3AA3-F3E4-430C-953A-415A195C8FF3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1" name="Text Box 41">
          <a:extLst>
            <a:ext uri="{FF2B5EF4-FFF2-40B4-BE49-F238E27FC236}">
              <a16:creationId xmlns:a16="http://schemas.microsoft.com/office/drawing/2014/main" xmlns="" id="{374D9F63-ABA6-4D48-BC55-A8DD2C01D59B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2" name="Text Box 43">
          <a:extLst>
            <a:ext uri="{FF2B5EF4-FFF2-40B4-BE49-F238E27FC236}">
              <a16:creationId xmlns:a16="http://schemas.microsoft.com/office/drawing/2014/main" xmlns="" id="{2F3C9DDE-5E9B-46F6-A63C-57E2D91D5ED9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3" name="Text Box 1">
          <a:extLst>
            <a:ext uri="{FF2B5EF4-FFF2-40B4-BE49-F238E27FC236}">
              <a16:creationId xmlns:a16="http://schemas.microsoft.com/office/drawing/2014/main" xmlns="" id="{2F500AF4-C5E4-452D-BE8D-EC8D9A0A3EDB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4" name="Text Box 8">
          <a:extLst>
            <a:ext uri="{FF2B5EF4-FFF2-40B4-BE49-F238E27FC236}">
              <a16:creationId xmlns:a16="http://schemas.microsoft.com/office/drawing/2014/main" xmlns="" id="{83E34443-7166-48E3-894B-E15111A2F2A4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5" name="Text Box 9">
          <a:extLst>
            <a:ext uri="{FF2B5EF4-FFF2-40B4-BE49-F238E27FC236}">
              <a16:creationId xmlns:a16="http://schemas.microsoft.com/office/drawing/2014/main" xmlns="" id="{0DE7A90A-4928-40DC-B261-A4B3FC533C7B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6" name="Text Box 10">
          <a:extLst>
            <a:ext uri="{FF2B5EF4-FFF2-40B4-BE49-F238E27FC236}">
              <a16:creationId xmlns:a16="http://schemas.microsoft.com/office/drawing/2014/main" xmlns="" id="{331920EC-F81D-46D7-A990-D3293C37FF4C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7" name="Text Box 41">
          <a:extLst>
            <a:ext uri="{FF2B5EF4-FFF2-40B4-BE49-F238E27FC236}">
              <a16:creationId xmlns:a16="http://schemas.microsoft.com/office/drawing/2014/main" xmlns="" id="{D80407F9-7A97-4451-AC89-211088CBE2E2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1384300</xdr:colOff>
      <xdr:row>65</xdr:row>
      <xdr:rowOff>0</xdr:rowOff>
    </xdr:from>
    <xdr:to>
      <xdr:col>0</xdr:col>
      <xdr:colOff>1390650</xdr:colOff>
      <xdr:row>65</xdr:row>
      <xdr:rowOff>44450</xdr:rowOff>
    </xdr:to>
    <xdr:sp macro="" textlink="">
      <xdr:nvSpPr>
        <xdr:cNvPr id="15528" name="Text Box 43">
          <a:extLst>
            <a:ext uri="{FF2B5EF4-FFF2-40B4-BE49-F238E27FC236}">
              <a16:creationId xmlns:a16="http://schemas.microsoft.com/office/drawing/2014/main" xmlns="" id="{ECC3B035-49B0-45EF-A95C-AF3E3845F4B0}"/>
            </a:ext>
          </a:extLst>
        </xdr:cNvPr>
        <xdr:cNvSpPr txBox="1">
          <a:spLocks noChangeArrowheads="1"/>
        </xdr:cNvSpPr>
      </xdr:nvSpPr>
      <xdr:spPr bwMode="auto">
        <a:xfrm>
          <a:off x="1384300" y="17741900"/>
          <a:ext cx="63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23</xdr:col>
      <xdr:colOff>718887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1273ADC2-78A9-4F38-8EB7-8FBD1935D9C8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4803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24</xdr:col>
      <xdr:colOff>1363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0BB61473-066B-481E-9674-127D7C40BA4E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6167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24</xdr:col>
      <xdr:colOff>1363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EFA73AD-4EC9-45FD-B43D-188DBBE5DCE6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6167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24</xdr:col>
      <xdr:colOff>1363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304CB2F1-94C8-448A-B4F0-2E1A8BE2C0D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6167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718887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6A114900-4E16-47FD-A7BC-C8520D7B54EE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4803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24</xdr:col>
      <xdr:colOff>1363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82FAE4FC-5B7E-4716-A437-2061A99864F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6167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24</xdr:col>
      <xdr:colOff>1363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19D7BD19-4284-4A78-97CA-9D4E4836A33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6167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24</xdr:col>
      <xdr:colOff>1363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D96496D7-323D-44D6-AFEA-D47CD231D3CC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5546167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33655</xdr:colOff>
      <xdr:row>0</xdr:row>
      <xdr:rowOff>0</xdr:rowOff>
    </xdr:from>
    <xdr:to>
      <xdr:col>13</xdr:col>
      <xdr:colOff>10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4C55D34A-82B6-4FD1-8156-2551BF0B4B16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7693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33655</xdr:colOff>
      <xdr:row>0</xdr:row>
      <xdr:rowOff>0</xdr:rowOff>
    </xdr:from>
    <xdr:to>
      <xdr:col>12</xdr:col>
      <xdr:colOff>511750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B9F413CC-AE7A-48A7-8F3C-A06FA93F8AFD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534426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33655</xdr:colOff>
      <xdr:row>0</xdr:row>
      <xdr:rowOff>0</xdr:rowOff>
    </xdr:from>
    <xdr:to>
      <xdr:col>12</xdr:col>
      <xdr:colOff>497684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342F0AF6-A5F3-4F5F-B4C9-4330DD7C4AD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515376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33655</xdr:colOff>
      <xdr:row>0</xdr:row>
      <xdr:rowOff>0</xdr:rowOff>
    </xdr:from>
    <xdr:to>
      <xdr:col>12</xdr:col>
      <xdr:colOff>511750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1DC26ADC-0FA6-4C99-AC22-944C1014B35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8534426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3" name="Text Box 1">
          <a:extLst>
            <a:ext uri="{FF2B5EF4-FFF2-40B4-BE49-F238E27FC236}">
              <a16:creationId xmlns:a16="http://schemas.microsoft.com/office/drawing/2014/main" xmlns="" id="{D6168446-DC65-4AEE-BF6A-9E568208FA8C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4" name="Text Box 8">
          <a:extLst>
            <a:ext uri="{FF2B5EF4-FFF2-40B4-BE49-F238E27FC236}">
              <a16:creationId xmlns:a16="http://schemas.microsoft.com/office/drawing/2014/main" xmlns="" id="{53A7D027-E11A-4374-9718-0A7BFF7B7DC9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5" name="Text Box 9">
          <a:extLst>
            <a:ext uri="{FF2B5EF4-FFF2-40B4-BE49-F238E27FC236}">
              <a16:creationId xmlns:a16="http://schemas.microsoft.com/office/drawing/2014/main" xmlns="" id="{C5AB919B-967A-447C-A146-4BD4B9DBA931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6" name="Text Box 10">
          <a:extLst>
            <a:ext uri="{FF2B5EF4-FFF2-40B4-BE49-F238E27FC236}">
              <a16:creationId xmlns:a16="http://schemas.microsoft.com/office/drawing/2014/main" xmlns="" id="{A32E779F-F0DF-4D98-BF20-5EA8A6D31111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7" name="Text Box 41">
          <a:extLst>
            <a:ext uri="{FF2B5EF4-FFF2-40B4-BE49-F238E27FC236}">
              <a16:creationId xmlns:a16="http://schemas.microsoft.com/office/drawing/2014/main" xmlns="" id="{2FA7A28E-E1DA-4F3D-B6B7-1F091D250893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8" name="Text Box 43">
          <a:extLst>
            <a:ext uri="{FF2B5EF4-FFF2-40B4-BE49-F238E27FC236}">
              <a16:creationId xmlns:a16="http://schemas.microsoft.com/office/drawing/2014/main" xmlns="" id="{D4F2AD73-D6C4-49E2-818D-144918C315BC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59" name="Text Box 1">
          <a:extLst>
            <a:ext uri="{FF2B5EF4-FFF2-40B4-BE49-F238E27FC236}">
              <a16:creationId xmlns:a16="http://schemas.microsoft.com/office/drawing/2014/main" xmlns="" id="{C04B2B0C-8261-4CA7-9B2A-EF9ED17655CB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0" name="Text Box 8">
          <a:extLst>
            <a:ext uri="{FF2B5EF4-FFF2-40B4-BE49-F238E27FC236}">
              <a16:creationId xmlns:a16="http://schemas.microsoft.com/office/drawing/2014/main" xmlns="" id="{83C49F6B-6A74-4C0B-A01D-ABFA819E6D29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1" name="Text Box 9">
          <a:extLst>
            <a:ext uri="{FF2B5EF4-FFF2-40B4-BE49-F238E27FC236}">
              <a16:creationId xmlns:a16="http://schemas.microsoft.com/office/drawing/2014/main" xmlns="" id="{9B87D1A8-ED67-4DA9-9BA3-29570EC5B038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2" name="Text Box 10">
          <a:extLst>
            <a:ext uri="{FF2B5EF4-FFF2-40B4-BE49-F238E27FC236}">
              <a16:creationId xmlns:a16="http://schemas.microsoft.com/office/drawing/2014/main" xmlns="" id="{6427BE09-7558-4FA8-87E1-6000F9336B72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3" name="Text Box 41">
          <a:extLst>
            <a:ext uri="{FF2B5EF4-FFF2-40B4-BE49-F238E27FC236}">
              <a16:creationId xmlns:a16="http://schemas.microsoft.com/office/drawing/2014/main" xmlns="" id="{2598CEC3-5FE2-4BCF-8FF8-250D1441656D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4" name="Text Box 43">
          <a:extLst>
            <a:ext uri="{FF2B5EF4-FFF2-40B4-BE49-F238E27FC236}">
              <a16:creationId xmlns:a16="http://schemas.microsoft.com/office/drawing/2014/main" xmlns="" id="{760AEFCB-6860-496E-ACCE-14A5620552FA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5" name="Text Box 1">
          <a:extLst>
            <a:ext uri="{FF2B5EF4-FFF2-40B4-BE49-F238E27FC236}">
              <a16:creationId xmlns:a16="http://schemas.microsoft.com/office/drawing/2014/main" xmlns="" id="{94BF03E6-63A4-4BC8-968D-0AAC7CBC433D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6" name="Text Box 8">
          <a:extLst>
            <a:ext uri="{FF2B5EF4-FFF2-40B4-BE49-F238E27FC236}">
              <a16:creationId xmlns:a16="http://schemas.microsoft.com/office/drawing/2014/main" xmlns="" id="{40B6EA95-6E10-4A25-BB3D-8E68E274B315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7" name="Text Box 9">
          <a:extLst>
            <a:ext uri="{FF2B5EF4-FFF2-40B4-BE49-F238E27FC236}">
              <a16:creationId xmlns:a16="http://schemas.microsoft.com/office/drawing/2014/main" xmlns="" id="{C9C56EA3-0949-4B14-A4D4-62ADC421B92A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8" name="Text Box 10">
          <a:extLst>
            <a:ext uri="{FF2B5EF4-FFF2-40B4-BE49-F238E27FC236}">
              <a16:creationId xmlns:a16="http://schemas.microsoft.com/office/drawing/2014/main" xmlns="" id="{1204E5B9-6D08-436E-804B-C64713A3600B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69" name="Text Box 41">
          <a:extLst>
            <a:ext uri="{FF2B5EF4-FFF2-40B4-BE49-F238E27FC236}">
              <a16:creationId xmlns:a16="http://schemas.microsoft.com/office/drawing/2014/main" xmlns="" id="{52419DD7-992B-4667-BFBF-5901BB48B6D6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0" name="Text Box 43">
          <a:extLst>
            <a:ext uri="{FF2B5EF4-FFF2-40B4-BE49-F238E27FC236}">
              <a16:creationId xmlns:a16="http://schemas.microsoft.com/office/drawing/2014/main" xmlns="" id="{40466889-7E8B-48F1-86A2-9CC0E67A31B0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1" name="Text Box 1">
          <a:extLst>
            <a:ext uri="{FF2B5EF4-FFF2-40B4-BE49-F238E27FC236}">
              <a16:creationId xmlns:a16="http://schemas.microsoft.com/office/drawing/2014/main" xmlns="" id="{9BDC89BF-FCD2-4E26-A436-D10AE46D5721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2" name="Text Box 8">
          <a:extLst>
            <a:ext uri="{FF2B5EF4-FFF2-40B4-BE49-F238E27FC236}">
              <a16:creationId xmlns:a16="http://schemas.microsoft.com/office/drawing/2014/main" xmlns="" id="{64DD3217-B942-4D15-BADE-D262C9BC9EBD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3" name="Text Box 9">
          <a:extLst>
            <a:ext uri="{FF2B5EF4-FFF2-40B4-BE49-F238E27FC236}">
              <a16:creationId xmlns:a16="http://schemas.microsoft.com/office/drawing/2014/main" xmlns="" id="{1F55D0A8-BA80-459C-B3FE-693F8BA6370C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4" name="Text Box 10">
          <a:extLst>
            <a:ext uri="{FF2B5EF4-FFF2-40B4-BE49-F238E27FC236}">
              <a16:creationId xmlns:a16="http://schemas.microsoft.com/office/drawing/2014/main" xmlns="" id="{EE41E3BC-81CD-454E-9575-A3CB761BFFDD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5" name="Text Box 41">
          <a:extLst>
            <a:ext uri="{FF2B5EF4-FFF2-40B4-BE49-F238E27FC236}">
              <a16:creationId xmlns:a16="http://schemas.microsoft.com/office/drawing/2014/main" xmlns="" id="{0EDF65EA-B2D9-4C2F-8E50-280F8EFD9F12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1390650</xdr:colOff>
      <xdr:row>0</xdr:row>
      <xdr:rowOff>0</xdr:rowOff>
    </xdr:from>
    <xdr:to>
      <xdr:col>0</xdr:col>
      <xdr:colOff>1409700</xdr:colOff>
      <xdr:row>0</xdr:row>
      <xdr:rowOff>47625</xdr:rowOff>
    </xdr:to>
    <xdr:sp macro="" textlink="">
      <xdr:nvSpPr>
        <xdr:cNvPr id="17576" name="Text Box 43">
          <a:extLst>
            <a:ext uri="{FF2B5EF4-FFF2-40B4-BE49-F238E27FC236}">
              <a16:creationId xmlns:a16="http://schemas.microsoft.com/office/drawing/2014/main" xmlns="" id="{56649721-08B3-42E2-A56D-462D59EA2D6B}"/>
            </a:ext>
          </a:extLst>
        </xdr:cNvPr>
        <xdr:cNvSpPr txBox="1">
          <a:spLocks noChangeArrowheads="1"/>
        </xdr:cNvSpPr>
      </xdr:nvSpPr>
      <xdr:spPr bwMode="auto">
        <a:xfrm>
          <a:off x="1390650" y="0"/>
          <a:ext cx="19050" cy="44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89"/>
  <sheetViews>
    <sheetView showGridLines="0" topLeftCell="A100" zoomScaleSheetLayoutView="100" workbookViewId="0">
      <selection activeCell="D53" sqref="D53"/>
    </sheetView>
  </sheetViews>
  <sheetFormatPr defaultColWidth="10.5703125" defaultRowHeight="19.5" customHeight="1"/>
  <cols>
    <col min="1" max="1" width="41" style="3" customWidth="1"/>
    <col min="2" max="2" width="8.140625" style="4" customWidth="1"/>
    <col min="3" max="3" width="0.5703125" style="4" customWidth="1"/>
    <col min="4" max="4" width="17" style="25" bestFit="1" customWidth="1"/>
    <col min="5" max="5" width="1" style="4" customWidth="1"/>
    <col min="6" max="6" width="17" style="25" bestFit="1" customWidth="1"/>
    <col min="7" max="7" width="1" style="10" customWidth="1"/>
    <col min="8" max="8" width="16.42578125" style="25" bestFit="1" customWidth="1"/>
    <col min="9" max="9" width="1" style="4" customWidth="1"/>
    <col min="10" max="10" width="16.42578125" style="25" bestFit="1" customWidth="1"/>
    <col min="11" max="11" width="20.42578125" style="25" customWidth="1"/>
    <col min="12" max="12" width="16.85546875" style="4" customWidth="1"/>
    <col min="13" max="13" width="14.42578125" style="4" customWidth="1"/>
    <col min="14" max="14" width="15.140625" style="4" customWidth="1"/>
    <col min="15" max="15" width="14.5703125" style="4" bestFit="1" customWidth="1"/>
    <col min="16" max="16" width="11.85546875" style="4" bestFit="1" customWidth="1"/>
    <col min="17" max="16384" width="10.5703125" style="4"/>
  </cols>
  <sheetData>
    <row r="1" spans="1:11" s="1" customFormat="1" ht="22.7" customHeight="1">
      <c r="A1" s="39" t="s">
        <v>105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1" s="1" customFormat="1" ht="22.7" customHeight="1">
      <c r="A2" s="39" t="s">
        <v>221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22.7" customHeight="1">
      <c r="D3" s="4"/>
      <c r="F3" s="4"/>
      <c r="G3" s="4"/>
      <c r="H3" s="4"/>
      <c r="J3" s="4"/>
      <c r="K3" s="4"/>
    </row>
    <row r="4" spans="1:11" ht="22.7" customHeight="1">
      <c r="C4" s="5"/>
      <c r="D4" s="410" t="s">
        <v>0</v>
      </c>
      <c r="E4" s="410"/>
      <c r="F4" s="410"/>
      <c r="G4" s="5"/>
      <c r="H4" s="410" t="s">
        <v>32</v>
      </c>
      <c r="I4" s="410"/>
      <c r="J4" s="410"/>
      <c r="K4" s="354"/>
    </row>
    <row r="5" spans="1:11" ht="22.7" customHeight="1">
      <c r="B5" s="57"/>
      <c r="C5" s="7"/>
      <c r="D5" s="412" t="s">
        <v>73</v>
      </c>
      <c r="E5" s="412"/>
      <c r="F5" s="412"/>
      <c r="G5" s="56"/>
      <c r="H5" s="412" t="s">
        <v>73</v>
      </c>
      <c r="I5" s="412"/>
      <c r="J5" s="412"/>
      <c r="K5" s="352"/>
    </row>
    <row r="6" spans="1:11" ht="22.7" customHeight="1">
      <c r="A6" s="194" t="s">
        <v>33</v>
      </c>
      <c r="B6" s="57" t="s">
        <v>1</v>
      </c>
      <c r="C6" s="7"/>
      <c r="D6" s="56" t="s">
        <v>220</v>
      </c>
      <c r="E6" s="56"/>
      <c r="F6" s="56" t="s">
        <v>211</v>
      </c>
      <c r="G6" s="56"/>
      <c r="H6" s="56" t="s">
        <v>220</v>
      </c>
      <c r="I6" s="56"/>
      <c r="J6" s="56" t="s">
        <v>211</v>
      </c>
      <c r="K6" s="56"/>
    </row>
    <row r="7" spans="1:11" ht="22.7" customHeight="1">
      <c r="B7" s="6"/>
      <c r="C7" s="7"/>
      <c r="D7" s="411" t="s">
        <v>100</v>
      </c>
      <c r="E7" s="411"/>
      <c r="F7" s="411"/>
      <c r="G7" s="411"/>
      <c r="H7" s="411"/>
      <c r="I7" s="411"/>
      <c r="J7" s="411"/>
      <c r="K7" s="353"/>
    </row>
    <row r="8" spans="1:11" ht="21.75" customHeight="1">
      <c r="A8" s="58" t="s">
        <v>2</v>
      </c>
      <c r="B8" s="9"/>
      <c r="C8" s="9"/>
      <c r="D8" s="5"/>
      <c r="E8" s="10"/>
      <c r="F8" s="5"/>
      <c r="H8" s="5"/>
      <c r="I8" s="10"/>
      <c r="J8" s="5"/>
      <c r="K8" s="5"/>
    </row>
    <row r="9" spans="1:11" ht="23.1" customHeight="1">
      <c r="A9" s="11" t="s">
        <v>34</v>
      </c>
      <c r="B9" s="12">
        <v>6</v>
      </c>
      <c r="D9" s="13">
        <v>1566087142</v>
      </c>
      <c r="E9" s="14"/>
      <c r="F9" s="13">
        <v>1766783801</v>
      </c>
      <c r="G9" s="14"/>
      <c r="H9" s="13">
        <v>241409966</v>
      </c>
      <c r="I9" s="15"/>
      <c r="J9" s="13">
        <v>479388111</v>
      </c>
      <c r="K9" s="13"/>
    </row>
    <row r="10" spans="1:11" ht="21.75" hidden="1" customHeight="1">
      <c r="A10" s="11" t="s">
        <v>42</v>
      </c>
      <c r="B10" s="9"/>
      <c r="C10" s="16"/>
      <c r="D10" s="195"/>
      <c r="E10" s="17"/>
      <c r="F10" s="195"/>
      <c r="G10" s="14"/>
      <c r="H10" s="195"/>
      <c r="I10" s="15"/>
      <c r="J10" s="195"/>
      <c r="K10" s="195"/>
    </row>
    <row r="11" spans="1:11" ht="22.7" customHeight="1">
      <c r="A11" s="11" t="s">
        <v>144</v>
      </c>
      <c r="B11" s="12" t="s">
        <v>245</v>
      </c>
      <c r="D11" s="13">
        <f>3558038528+9509090+5206604+60733260+12441912</f>
        <v>3645929394</v>
      </c>
      <c r="E11" s="15"/>
      <c r="F11" s="13">
        <v>4378648427</v>
      </c>
      <c r="G11" s="15"/>
      <c r="H11" s="15">
        <f>2716309351+451793121+974229+551312+14795213+5076902+36431252+4038701-H12</f>
        <v>2779970081</v>
      </c>
      <c r="I11" s="15"/>
      <c r="J11" s="15">
        <v>3233993848</v>
      </c>
      <c r="K11" s="98"/>
    </row>
    <row r="12" spans="1:11" ht="23.1" customHeight="1">
      <c r="A12" s="11" t="s">
        <v>235</v>
      </c>
      <c r="B12" s="12">
        <v>5</v>
      </c>
      <c r="D12" s="98">
        <v>0</v>
      </c>
      <c r="E12" s="14"/>
      <c r="F12" s="98">
        <v>0</v>
      </c>
      <c r="G12" s="14"/>
      <c r="H12" s="338">
        <v>450000000</v>
      </c>
      <c r="I12" s="98"/>
      <c r="J12" s="98">
        <v>0</v>
      </c>
      <c r="K12" s="13"/>
    </row>
    <row r="13" spans="1:11" ht="23.1" customHeight="1">
      <c r="A13" s="11" t="s">
        <v>49</v>
      </c>
      <c r="B13" s="12">
        <v>8</v>
      </c>
      <c r="D13" s="13">
        <v>3674994039</v>
      </c>
      <c r="E13" s="14"/>
      <c r="F13" s="13">
        <v>3792514860</v>
      </c>
      <c r="G13" s="14"/>
      <c r="H13" s="13">
        <f>2089569660</f>
        <v>2089569660</v>
      </c>
      <c r="I13" s="15"/>
      <c r="J13" s="13">
        <v>1999573641</v>
      </c>
      <c r="K13" s="274"/>
    </row>
    <row r="14" spans="1:11" ht="23.1" customHeight="1">
      <c r="A14" s="11" t="s">
        <v>176</v>
      </c>
      <c r="B14" s="12">
        <v>23</v>
      </c>
      <c r="D14" s="98">
        <v>0</v>
      </c>
      <c r="E14" s="14"/>
      <c r="F14" s="13">
        <v>51418719</v>
      </c>
      <c r="G14" s="14"/>
      <c r="H14" s="338">
        <f>77497000-85044-75703275</f>
        <v>1708681</v>
      </c>
      <c r="I14" s="98"/>
      <c r="J14" s="338">
        <v>32395836</v>
      </c>
      <c r="K14" s="13"/>
    </row>
    <row r="15" spans="1:11" ht="23.1" customHeight="1">
      <c r="A15" s="11" t="s">
        <v>35</v>
      </c>
      <c r="B15" s="18"/>
      <c r="D15" s="13">
        <f>53307488+2669602+8377360+3441293+668665</f>
        <v>68464408</v>
      </c>
      <c r="E15" s="14"/>
      <c r="F15" s="13">
        <v>75387698</v>
      </c>
      <c r="G15" s="14"/>
      <c r="H15" s="13">
        <f>27648248+175700+5046681+1551637+23</f>
        <v>34422289</v>
      </c>
      <c r="I15" s="15"/>
      <c r="J15" s="13">
        <v>31226612</v>
      </c>
      <c r="K15" s="266"/>
    </row>
    <row r="16" spans="1:11" ht="23.1" customHeight="1">
      <c r="A16" s="11" t="s">
        <v>13</v>
      </c>
      <c r="B16" s="18"/>
      <c r="D16" s="13"/>
      <c r="E16" s="14"/>
      <c r="F16" s="13"/>
      <c r="G16" s="14"/>
      <c r="H16" s="13"/>
      <c r="I16" s="15"/>
      <c r="J16" s="13"/>
      <c r="K16" s="266"/>
    </row>
    <row r="17" spans="1:16" ht="23.1" customHeight="1">
      <c r="A17" s="11" t="s">
        <v>213</v>
      </c>
      <c r="B17" s="12"/>
      <c r="D17" s="98">
        <v>0</v>
      </c>
      <c r="E17" s="14"/>
      <c r="F17" s="384">
        <v>14670791</v>
      </c>
      <c r="G17" s="14"/>
      <c r="H17" s="98">
        <v>0</v>
      </c>
      <c r="I17" s="15"/>
      <c r="J17" s="98">
        <v>0</v>
      </c>
      <c r="K17" s="266"/>
    </row>
    <row r="18" spans="1:16" s="39" customFormat="1" ht="23.1" customHeight="1">
      <c r="A18" s="86" t="s">
        <v>3</v>
      </c>
      <c r="B18" s="8"/>
      <c r="D18" s="61">
        <f>SUM(D9:D17)</f>
        <v>8955474983</v>
      </c>
      <c r="E18" s="41"/>
      <c r="F18" s="61">
        <f>SUM(F9:F17)</f>
        <v>10079424296</v>
      </c>
      <c r="G18" s="41"/>
      <c r="H18" s="61">
        <f>SUM(H9:H17)</f>
        <v>5597080677</v>
      </c>
      <c r="I18" s="41"/>
      <c r="J18" s="61">
        <f>SUM(J9:J17)</f>
        <v>5776578048</v>
      </c>
      <c r="K18" s="193"/>
      <c r="L18" s="4"/>
      <c r="M18" s="4"/>
      <c r="N18" s="4"/>
      <c r="O18" s="4"/>
      <c r="P18" s="4"/>
    </row>
    <row r="19" spans="1:16" ht="21.75" customHeight="1">
      <c r="A19" s="19"/>
      <c r="B19" s="18"/>
      <c r="D19" s="37"/>
      <c r="E19" s="14"/>
      <c r="F19" s="37"/>
      <c r="G19" s="14"/>
      <c r="H19" s="37"/>
      <c r="I19" s="14"/>
      <c r="J19" s="37"/>
      <c r="K19" s="37"/>
    </row>
    <row r="20" spans="1:16" ht="23.1" customHeight="1">
      <c r="A20" s="59" t="s">
        <v>13</v>
      </c>
      <c r="B20" s="9"/>
      <c r="C20" s="9"/>
      <c r="D20" s="20"/>
      <c r="E20" s="20"/>
      <c r="F20" s="20"/>
      <c r="G20" s="14"/>
      <c r="H20" s="20"/>
      <c r="I20" s="20"/>
      <c r="J20" s="20"/>
      <c r="K20" s="20"/>
    </row>
    <row r="21" spans="1:16" ht="23.1" customHeight="1">
      <c r="A21" s="11" t="s">
        <v>36</v>
      </c>
      <c r="B21" s="9">
        <v>9</v>
      </c>
      <c r="C21" s="9"/>
      <c r="D21" s="13">
        <v>32981170</v>
      </c>
      <c r="E21" s="22"/>
      <c r="F21" s="13">
        <v>31873080</v>
      </c>
      <c r="G21" s="14"/>
      <c r="H21" s="15">
        <v>1642115</v>
      </c>
      <c r="I21" s="15"/>
      <c r="J21" s="13">
        <v>1642115</v>
      </c>
      <c r="K21" s="13"/>
    </row>
    <row r="22" spans="1:16" ht="23.1" customHeight="1">
      <c r="A22" s="11" t="s">
        <v>50</v>
      </c>
      <c r="B22" s="9">
        <v>10</v>
      </c>
      <c r="C22" s="9"/>
      <c r="D22" s="202">
        <v>0</v>
      </c>
      <c r="E22" s="103"/>
      <c r="F22" s="202">
        <v>0</v>
      </c>
      <c r="G22" s="14"/>
      <c r="H22" s="15">
        <f>3202059919-H21+1</f>
        <v>3200417805</v>
      </c>
      <c r="I22" s="15"/>
      <c r="J22" s="21">
        <v>2849475934</v>
      </c>
      <c r="K22" s="21"/>
    </row>
    <row r="23" spans="1:16" ht="23.1" customHeight="1">
      <c r="A23" s="11" t="s">
        <v>170</v>
      </c>
      <c r="B23" s="9">
        <v>19</v>
      </c>
      <c r="C23" s="9"/>
      <c r="D23" s="21">
        <v>339772855</v>
      </c>
      <c r="E23" s="103"/>
      <c r="F23" s="21">
        <f>355515500+13219654-1</f>
        <v>368735153</v>
      </c>
      <c r="G23" s="14"/>
      <c r="H23" s="21">
        <v>324444581</v>
      </c>
      <c r="I23" s="15"/>
      <c r="J23" s="21">
        <f>355515500-1</f>
        <v>355515499</v>
      </c>
      <c r="K23" s="355"/>
    </row>
    <row r="24" spans="1:16" ht="23.1" customHeight="1">
      <c r="A24" s="11" t="s">
        <v>128</v>
      </c>
      <c r="B24" s="9">
        <v>11</v>
      </c>
      <c r="C24" s="9"/>
      <c r="D24" s="23">
        <v>151090508</v>
      </c>
      <c r="E24" s="103"/>
      <c r="F24" s="23">
        <v>153316660</v>
      </c>
      <c r="G24" s="14"/>
      <c r="H24" s="23">
        <f>176272260-1</f>
        <v>176272259</v>
      </c>
      <c r="I24" s="15"/>
      <c r="J24" s="23">
        <v>178869437</v>
      </c>
      <c r="K24" s="23"/>
    </row>
    <row r="25" spans="1:16" ht="23.1" customHeight="1">
      <c r="A25" s="11" t="s">
        <v>51</v>
      </c>
      <c r="B25" s="9">
        <v>12</v>
      </c>
      <c r="C25" s="9"/>
      <c r="D25" s="13">
        <f>7445956069+62549916+136867138</f>
        <v>7645373123</v>
      </c>
      <c r="E25" s="22"/>
      <c r="F25" s="13">
        <v>8124497954</v>
      </c>
      <c r="G25" s="14"/>
      <c r="H25" s="23">
        <v>4746573303</v>
      </c>
      <c r="I25" s="14"/>
      <c r="J25" s="23">
        <v>5115810846</v>
      </c>
      <c r="K25" s="23"/>
    </row>
    <row r="26" spans="1:16" ht="23.1" customHeight="1">
      <c r="A26" s="11" t="s">
        <v>173</v>
      </c>
      <c r="B26" s="9">
        <v>13</v>
      </c>
      <c r="C26" s="9"/>
      <c r="D26" s="13">
        <v>58473883</v>
      </c>
      <c r="E26" s="22"/>
      <c r="F26" s="13">
        <f>29551809</f>
        <v>29551809</v>
      </c>
      <c r="G26" s="14"/>
      <c r="H26" s="23">
        <v>21075581</v>
      </c>
      <c r="I26" s="14"/>
      <c r="J26" s="23">
        <v>12913983</v>
      </c>
      <c r="K26" s="23"/>
    </row>
    <row r="27" spans="1:16" ht="23.1" customHeight="1">
      <c r="A27" s="11" t="s">
        <v>106</v>
      </c>
      <c r="B27" s="9">
        <v>14</v>
      </c>
      <c r="C27" s="9"/>
      <c r="D27" s="13">
        <v>450353977</v>
      </c>
      <c r="E27" s="22"/>
      <c r="F27" s="13">
        <v>153517054</v>
      </c>
      <c r="G27" s="14"/>
      <c r="H27" s="195">
        <v>0</v>
      </c>
      <c r="I27" s="14"/>
      <c r="J27" s="195">
        <v>0</v>
      </c>
      <c r="K27" s="202"/>
    </row>
    <row r="28" spans="1:16" ht="23.1" customHeight="1">
      <c r="A28" s="11" t="s">
        <v>153</v>
      </c>
      <c r="B28" s="9">
        <v>15</v>
      </c>
      <c r="C28" s="9"/>
      <c r="D28" s="13">
        <v>631437461</v>
      </c>
      <c r="E28" s="22"/>
      <c r="F28" s="13">
        <f>122695112+8018225</f>
        <v>130713337</v>
      </c>
      <c r="G28" s="23"/>
      <c r="H28" s="21">
        <v>53243882</v>
      </c>
      <c r="I28" s="15"/>
      <c r="J28" s="21">
        <v>55037617</v>
      </c>
      <c r="K28" s="21"/>
    </row>
    <row r="29" spans="1:16" ht="23.1" customHeight="1">
      <c r="A29" s="11" t="s">
        <v>115</v>
      </c>
      <c r="B29" s="9">
        <v>21</v>
      </c>
      <c r="C29" s="9"/>
      <c r="D29" s="21">
        <v>123057781</v>
      </c>
      <c r="E29" s="22"/>
      <c r="F29" s="21">
        <v>116137015</v>
      </c>
      <c r="G29" s="23"/>
      <c r="H29" s="202">
        <f>47196929+1540192-1</f>
        <v>48737120</v>
      </c>
      <c r="I29" s="15"/>
      <c r="J29" s="202">
        <v>33605795</v>
      </c>
      <c r="K29" s="202"/>
    </row>
    <row r="30" spans="1:16" ht="23.1" customHeight="1">
      <c r="A30" s="11" t="s">
        <v>52</v>
      </c>
      <c r="B30" s="9"/>
      <c r="C30" s="16"/>
      <c r="D30" s="316">
        <f>25726969+341711256-D23</f>
        <v>27665370</v>
      </c>
      <c r="E30" s="17"/>
      <c r="F30" s="316">
        <f>4425045+369861711-F23</f>
        <v>5551603</v>
      </c>
      <c r="G30" s="14"/>
      <c r="H30" s="13">
        <f>23668264</f>
        <v>23668264</v>
      </c>
      <c r="I30" s="13"/>
      <c r="J30" s="13">
        <f>3280594+355515500-J23-1</f>
        <v>3280594</v>
      </c>
      <c r="K30" s="13"/>
    </row>
    <row r="31" spans="1:16" s="39" customFormat="1" ht="23.1" customHeight="1">
      <c r="A31" s="19" t="s">
        <v>14</v>
      </c>
      <c r="B31" s="38"/>
      <c r="C31" s="47"/>
      <c r="D31" s="61">
        <f>SUM(D21:D30)</f>
        <v>9460206128</v>
      </c>
      <c r="E31" s="41"/>
      <c r="F31" s="61">
        <f>SUM(F21:F30)</f>
        <v>9113893665</v>
      </c>
      <c r="G31" s="41"/>
      <c r="H31" s="133">
        <f>SUM(H21:H30)</f>
        <v>8596074910</v>
      </c>
      <c r="I31" s="41"/>
      <c r="J31" s="133">
        <f>SUM(J21:J30)</f>
        <v>8606151820</v>
      </c>
      <c r="K31" s="240"/>
      <c r="L31" s="4"/>
      <c r="M31" s="4"/>
      <c r="N31" s="4"/>
    </row>
    <row r="32" spans="1:16" ht="21.75" customHeight="1">
      <c r="A32" s="19"/>
      <c r="B32" s="9"/>
      <c r="C32" s="7"/>
      <c r="D32" s="60"/>
      <c r="E32" s="14"/>
      <c r="F32" s="60"/>
      <c r="G32" s="14"/>
      <c r="H32" s="134"/>
      <c r="I32" s="14"/>
      <c r="J32" s="134"/>
      <c r="K32" s="241"/>
    </row>
    <row r="33" spans="1:14" s="39" customFormat="1" ht="23.1" customHeight="1" thickBot="1">
      <c r="A33" s="19" t="s">
        <v>4</v>
      </c>
      <c r="B33" s="38"/>
      <c r="C33" s="47"/>
      <c r="D33" s="64">
        <f>D18+D31</f>
        <v>18415681111</v>
      </c>
      <c r="E33" s="41"/>
      <c r="F33" s="64">
        <f>F18+F31</f>
        <v>19193317961</v>
      </c>
      <c r="G33" s="41"/>
      <c r="H33" s="135">
        <f>H18+H31</f>
        <v>14193155587</v>
      </c>
      <c r="I33" s="41"/>
      <c r="J33" s="135">
        <f>J18+J31</f>
        <v>14382729868</v>
      </c>
      <c r="K33" s="240"/>
      <c r="L33" s="4"/>
      <c r="M33" s="4"/>
      <c r="N33" s="4"/>
    </row>
    <row r="34" spans="1:14" ht="21.75" customHeight="1" thickTop="1">
      <c r="A34" s="24" t="s">
        <v>11</v>
      </c>
      <c r="B34" s="10"/>
      <c r="C34" s="9"/>
      <c r="D34" s="98"/>
      <c r="E34" s="98"/>
      <c r="F34" s="98"/>
      <c r="G34" s="99"/>
      <c r="H34" s="98"/>
      <c r="I34" s="98"/>
      <c r="J34" s="98"/>
      <c r="K34" s="98"/>
    </row>
    <row r="35" spans="1:14" s="1" customFormat="1" ht="22.7" customHeight="1">
      <c r="A35" s="39" t="s">
        <v>105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pans="1:14" s="1" customFormat="1" ht="22.7" customHeight="1">
      <c r="A36" s="39" t="s">
        <v>221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pans="1:14" s="1" customFormat="1" ht="22.7" customHeight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</row>
    <row r="38" spans="1:14" ht="22.7" customHeight="1">
      <c r="A38" s="83"/>
      <c r="C38" s="5"/>
      <c r="D38" s="410" t="s">
        <v>0</v>
      </c>
      <c r="E38" s="410"/>
      <c r="F38" s="410"/>
      <c r="G38" s="5"/>
      <c r="H38" s="410" t="s">
        <v>32</v>
      </c>
      <c r="I38" s="410"/>
      <c r="J38" s="410"/>
      <c r="K38" s="354"/>
    </row>
    <row r="39" spans="1:14" ht="22.7" customHeight="1">
      <c r="B39" s="57"/>
      <c r="C39" s="7"/>
      <c r="D39" s="412" t="s">
        <v>73</v>
      </c>
      <c r="E39" s="412"/>
      <c r="F39" s="412"/>
      <c r="G39" s="56"/>
      <c r="H39" s="412" t="s">
        <v>73</v>
      </c>
      <c r="I39" s="412"/>
      <c r="J39" s="412"/>
      <c r="K39" s="352"/>
    </row>
    <row r="40" spans="1:14" ht="22.7" customHeight="1">
      <c r="A40" s="194" t="s">
        <v>37</v>
      </c>
      <c r="B40" s="57" t="s">
        <v>1</v>
      </c>
      <c r="C40" s="7"/>
      <c r="D40" s="56" t="s">
        <v>220</v>
      </c>
      <c r="E40" s="56"/>
      <c r="F40" s="56" t="s">
        <v>211</v>
      </c>
      <c r="G40" s="56"/>
      <c r="H40" s="56" t="s">
        <v>220</v>
      </c>
      <c r="I40" s="56"/>
      <c r="J40" s="56" t="s">
        <v>211</v>
      </c>
      <c r="K40" s="56"/>
    </row>
    <row r="41" spans="1:14" ht="22.7" customHeight="1">
      <c r="B41" s="6"/>
      <c r="C41" s="7"/>
      <c r="D41" s="411" t="s">
        <v>100</v>
      </c>
      <c r="E41" s="411"/>
      <c r="F41" s="411"/>
      <c r="G41" s="411"/>
      <c r="H41" s="411"/>
      <c r="I41" s="411"/>
      <c r="J41" s="411"/>
      <c r="K41" s="353"/>
    </row>
    <row r="42" spans="1:14" ht="26.25" customHeight="1">
      <c r="A42" s="59" t="s">
        <v>5</v>
      </c>
      <c r="B42" s="6"/>
      <c r="C42" s="7"/>
      <c r="D42" s="4"/>
      <c r="F42" s="4"/>
      <c r="G42" s="4"/>
      <c r="H42" s="4"/>
      <c r="J42" s="4"/>
      <c r="K42" s="4"/>
    </row>
    <row r="43" spans="1:14" ht="23.1" customHeight="1">
      <c r="A43" s="11" t="s">
        <v>206</v>
      </c>
      <c r="B43" s="9" t="s">
        <v>246</v>
      </c>
      <c r="C43" s="9"/>
      <c r="D43" s="13">
        <v>996000000</v>
      </c>
      <c r="E43" s="20"/>
      <c r="F43" s="13">
        <v>1280499340</v>
      </c>
      <c r="G43" s="14"/>
      <c r="H43" s="13">
        <v>454000000</v>
      </c>
      <c r="I43" s="20"/>
      <c r="J43" s="13">
        <v>570499340</v>
      </c>
      <c r="K43" s="13"/>
    </row>
    <row r="44" spans="1:14" ht="23.1" customHeight="1">
      <c r="A44" s="11" t="s">
        <v>146</v>
      </c>
      <c r="B44" s="9">
        <v>23</v>
      </c>
      <c r="C44" s="9"/>
      <c r="D44" s="13">
        <f>1860247973+29242722+138979161+275869081+528801091+1392244+8485326</f>
        <v>2843017598</v>
      </c>
      <c r="E44" s="17"/>
      <c r="F44" s="13">
        <v>2728403511</v>
      </c>
      <c r="G44" s="15"/>
      <c r="H44" s="15">
        <f>689600272+827262066+110003315+58731219+57997386+163108040+186816611+304508006+609213+340665-H50+1</f>
        <v>2288976794</v>
      </c>
      <c r="I44" s="15"/>
      <c r="J44" s="15">
        <f>649037946+875042474+50581284+40571745+65430350+335154+4869180+322190182+2552824+371539</f>
        <v>2010982678</v>
      </c>
      <c r="K44" s="273"/>
    </row>
    <row r="45" spans="1:14" ht="23.1" customHeight="1">
      <c r="A45" s="11" t="s">
        <v>214</v>
      </c>
      <c r="B45" s="9"/>
      <c r="C45" s="9"/>
      <c r="D45" s="98">
        <v>0</v>
      </c>
      <c r="E45" s="17"/>
      <c r="F45" s="13">
        <v>36360000</v>
      </c>
      <c r="G45" s="15"/>
      <c r="H45" s="345">
        <v>0</v>
      </c>
      <c r="I45" s="15"/>
      <c r="J45" s="345">
        <v>0</v>
      </c>
      <c r="K45" s="273"/>
    </row>
    <row r="46" spans="1:14" ht="23.1" customHeight="1">
      <c r="A46" s="11" t="s">
        <v>84</v>
      </c>
    </row>
    <row r="47" spans="1:14" ht="23.1" customHeight="1">
      <c r="A47" s="11" t="s">
        <v>83</v>
      </c>
      <c r="B47" s="9" t="s">
        <v>246</v>
      </c>
      <c r="C47" s="9"/>
      <c r="D47" s="28">
        <v>68490298</v>
      </c>
      <c r="E47" s="22"/>
      <c r="F47" s="28">
        <v>425348096</v>
      </c>
      <c r="G47" s="14"/>
      <c r="H47" s="29">
        <v>66600000</v>
      </c>
      <c r="I47" s="14"/>
      <c r="J47" s="29">
        <v>294587924</v>
      </c>
      <c r="K47" s="29"/>
    </row>
    <row r="48" spans="1:14" ht="23.1" customHeight="1">
      <c r="A48" s="11" t="s">
        <v>195</v>
      </c>
      <c r="B48" s="9"/>
      <c r="C48" s="16"/>
      <c r="D48" s="13"/>
      <c r="E48" s="17"/>
      <c r="F48" s="13"/>
      <c r="G48" s="14"/>
      <c r="H48" s="13"/>
      <c r="I48" s="15"/>
      <c r="J48" s="13"/>
      <c r="K48" s="13"/>
    </row>
    <row r="49" spans="1:36" ht="23.1" customHeight="1">
      <c r="A49" s="11" t="s">
        <v>83</v>
      </c>
      <c r="B49" s="9" t="s">
        <v>246</v>
      </c>
      <c r="C49" s="16"/>
      <c r="D49" s="25">
        <f>13493948+1</f>
        <v>13493949</v>
      </c>
      <c r="E49" s="17"/>
      <c r="F49" s="25">
        <v>6279388</v>
      </c>
      <c r="G49" s="14"/>
      <c r="H49" s="28">
        <v>5662462</v>
      </c>
      <c r="I49" s="15"/>
      <c r="J49" s="28">
        <v>3780521</v>
      </c>
      <c r="K49" s="28"/>
    </row>
    <row r="50" spans="1:36" ht="23.1" customHeight="1">
      <c r="A50" s="11" t="s">
        <v>226</v>
      </c>
      <c r="B50" s="9">
        <v>5</v>
      </c>
      <c r="C50" s="16"/>
      <c r="D50" s="345">
        <v>0</v>
      </c>
      <c r="E50" s="17"/>
      <c r="F50" s="345">
        <v>0</v>
      </c>
      <c r="G50" s="14"/>
      <c r="H50" s="28">
        <v>110000000</v>
      </c>
      <c r="I50" s="15"/>
      <c r="J50" s="345">
        <v>0</v>
      </c>
      <c r="K50" s="28"/>
    </row>
    <row r="51" spans="1:36" ht="23.1" customHeight="1">
      <c r="A51" s="11" t="s">
        <v>174</v>
      </c>
      <c r="B51" s="9"/>
      <c r="C51" s="16"/>
      <c r="D51" s="29">
        <v>64367706</v>
      </c>
      <c r="E51" s="17"/>
      <c r="F51" s="29">
        <f>85044795+1</f>
        <v>85044796</v>
      </c>
      <c r="G51" s="98"/>
      <c r="H51" s="345">
        <v>0</v>
      </c>
      <c r="I51" s="15"/>
      <c r="J51" s="202">
        <v>26550429</v>
      </c>
      <c r="K51" s="202"/>
    </row>
    <row r="52" spans="1:36" ht="23.1" customHeight="1">
      <c r="A52" s="11" t="s">
        <v>175</v>
      </c>
      <c r="B52" s="9">
        <v>23</v>
      </c>
      <c r="C52" s="16"/>
      <c r="D52" s="202">
        <f>81044847-80981750+80335</f>
        <v>143432</v>
      </c>
      <c r="E52" s="17"/>
      <c r="F52" s="202">
        <v>0</v>
      </c>
      <c r="G52" s="29"/>
      <c r="H52" s="202">
        <v>0</v>
      </c>
      <c r="I52" s="15"/>
      <c r="J52" s="202">
        <v>0</v>
      </c>
      <c r="K52" s="202"/>
    </row>
    <row r="53" spans="1:36" s="39" customFormat="1" ht="23.1" customHeight="1">
      <c r="A53" s="19" t="s">
        <v>6</v>
      </c>
      <c r="B53" s="38"/>
      <c r="C53" s="38"/>
      <c r="D53" s="61">
        <f>SUM(D43:D52)</f>
        <v>3985512983</v>
      </c>
      <c r="E53" s="63"/>
      <c r="F53" s="61">
        <f>SUM(F43:F52)</f>
        <v>4561935131</v>
      </c>
      <c r="G53" s="41"/>
      <c r="H53" s="61">
        <f>SUM(H43:H52)</f>
        <v>2925239256</v>
      </c>
      <c r="I53" s="63"/>
      <c r="J53" s="61">
        <f>SUM(J43:J52)</f>
        <v>2906400892</v>
      </c>
      <c r="K53" s="193"/>
      <c r="L53" s="4"/>
      <c r="M53" s="4"/>
      <c r="N53" s="4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 ht="8.25" customHeight="1">
      <c r="A54" s="19"/>
      <c r="B54" s="9"/>
      <c r="C54" s="9"/>
      <c r="D54" s="37"/>
      <c r="E54" s="15"/>
      <c r="F54" s="37"/>
      <c r="G54" s="14"/>
      <c r="H54" s="37"/>
      <c r="I54" s="15"/>
      <c r="J54" s="37"/>
      <c r="K54" s="37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spans="1:36" ht="23.1" customHeight="1">
      <c r="A55" s="59" t="s">
        <v>19</v>
      </c>
      <c r="B55" s="9"/>
      <c r="D55" s="13"/>
      <c r="E55" s="14"/>
      <c r="F55" s="13"/>
      <c r="G55" s="14"/>
      <c r="H55" s="13"/>
      <c r="I55" s="14"/>
      <c r="J55" s="13"/>
      <c r="K55" s="13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spans="1:36" ht="23.1" customHeight="1">
      <c r="A56" s="11" t="s">
        <v>93</v>
      </c>
      <c r="B56" s="9" t="s">
        <v>246</v>
      </c>
      <c r="D56" s="30">
        <f>51670943+1</f>
        <v>51670944</v>
      </c>
      <c r="E56" s="14"/>
      <c r="F56" s="30">
        <v>502519096</v>
      </c>
      <c r="G56" s="14"/>
      <c r="H56" s="30">
        <v>46100000</v>
      </c>
      <c r="I56" s="14"/>
      <c r="J56" s="30">
        <v>495005217</v>
      </c>
      <c r="K56" s="3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spans="1:36" ht="23.1" customHeight="1">
      <c r="A57" s="11" t="s">
        <v>177</v>
      </c>
      <c r="B57" s="9" t="s">
        <v>246</v>
      </c>
      <c r="D57" s="13">
        <v>33808606</v>
      </c>
      <c r="E57" s="13"/>
      <c r="F57" s="13">
        <v>12580698</v>
      </c>
      <c r="G57" s="13"/>
      <c r="H57" s="13">
        <f>9829581-1</f>
        <v>9829580</v>
      </c>
      <c r="I57" s="14"/>
      <c r="J57" s="13">
        <v>5653267</v>
      </c>
      <c r="K57" s="13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spans="1:36" ht="23.1" customHeight="1">
      <c r="A58" s="11" t="s">
        <v>116</v>
      </c>
      <c r="B58" s="9">
        <v>21</v>
      </c>
      <c r="D58" s="30">
        <v>175299083</v>
      </c>
      <c r="E58" s="14"/>
      <c r="F58" s="30">
        <v>44362870</v>
      </c>
      <c r="G58" s="14"/>
      <c r="H58" s="202">
        <v>0</v>
      </c>
      <c r="I58" s="14"/>
      <c r="J58" s="202">
        <v>0</v>
      </c>
      <c r="K58" s="202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spans="1:36" ht="23.1" customHeight="1">
      <c r="A59" s="11" t="s">
        <v>130</v>
      </c>
      <c r="B59" s="9"/>
      <c r="D59" s="30"/>
      <c r="E59" s="14"/>
      <c r="F59" s="30"/>
      <c r="G59" s="14"/>
      <c r="H59" s="30"/>
      <c r="I59" s="14"/>
      <c r="J59" s="30"/>
      <c r="K59" s="3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</row>
    <row r="60" spans="1:36" ht="23.1" customHeight="1">
      <c r="A60" s="11" t="s">
        <v>131</v>
      </c>
      <c r="B60" s="9">
        <v>17</v>
      </c>
      <c r="C60" s="16"/>
      <c r="D60" s="30">
        <v>351330161</v>
      </c>
      <c r="E60" s="17"/>
      <c r="F60" s="30">
        <v>322637455</v>
      </c>
      <c r="G60" s="14"/>
      <c r="H60" s="202">
        <v>185230903</v>
      </c>
      <c r="I60" s="15"/>
      <c r="J60" s="202">
        <v>171580588</v>
      </c>
      <c r="K60" s="202"/>
      <c r="L60" s="10"/>
      <c r="M60" s="10"/>
      <c r="N60" s="10"/>
    </row>
    <row r="61" spans="1:36" s="39" customFormat="1" ht="23.1" customHeight="1">
      <c r="A61" s="19" t="s">
        <v>20</v>
      </c>
      <c r="B61" s="38"/>
      <c r="D61" s="61">
        <f>SUM(D56:D60)</f>
        <v>612108794</v>
      </c>
      <c r="E61" s="41"/>
      <c r="F61" s="61">
        <f>SUM(F56:F60)</f>
        <v>882100119</v>
      </c>
      <c r="G61" s="41"/>
      <c r="H61" s="61">
        <f>SUM(H56:H60)</f>
        <v>241160483</v>
      </c>
      <c r="I61" s="41"/>
      <c r="J61" s="61">
        <f>SUM(J56:J60)</f>
        <v>672239072</v>
      </c>
      <c r="K61" s="193"/>
      <c r="L61" s="10"/>
      <c r="M61" s="10"/>
      <c r="N61" s="10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</row>
    <row r="62" spans="1:36" s="39" customFormat="1" ht="21.75" customHeight="1">
      <c r="A62" s="19"/>
      <c r="B62" s="38"/>
      <c r="D62" s="218"/>
      <c r="E62" s="41"/>
      <c r="F62" s="218"/>
      <c r="G62" s="41"/>
      <c r="H62" s="218"/>
      <c r="I62" s="41"/>
      <c r="J62" s="218"/>
      <c r="K62" s="193"/>
      <c r="L62" s="10"/>
      <c r="M62" s="10"/>
      <c r="N62" s="10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</row>
    <row r="63" spans="1:36" s="39" customFormat="1" ht="22.5" customHeight="1">
      <c r="A63" s="19" t="s">
        <v>7</v>
      </c>
      <c r="B63" s="38"/>
      <c r="D63" s="217">
        <f>D53+D61</f>
        <v>4597621777</v>
      </c>
      <c r="E63" s="41"/>
      <c r="F63" s="217">
        <f>F53+F61</f>
        <v>5444035250</v>
      </c>
      <c r="G63" s="41"/>
      <c r="H63" s="217">
        <f>H53+H61</f>
        <v>3166399739</v>
      </c>
      <c r="I63" s="63"/>
      <c r="J63" s="217">
        <f>J53+J61</f>
        <v>3578639964</v>
      </c>
      <c r="K63" s="193"/>
      <c r="L63" s="10"/>
      <c r="M63" s="10"/>
      <c r="N63" s="10"/>
    </row>
    <row r="64" spans="1:36" ht="22.35" customHeight="1">
      <c r="A64" s="31"/>
      <c r="B64" s="9"/>
      <c r="D64" s="32"/>
      <c r="E64" s="5"/>
      <c r="F64" s="32"/>
      <c r="G64" s="5"/>
      <c r="H64" s="33"/>
      <c r="I64" s="25"/>
      <c r="J64" s="33"/>
      <c r="K64" s="33"/>
      <c r="L64" s="10"/>
      <c r="M64" s="10"/>
      <c r="N64" s="10"/>
    </row>
    <row r="65" spans="1:36" ht="22.35" customHeight="1">
      <c r="A65" s="39" t="s">
        <v>105</v>
      </c>
      <c r="B65" s="6"/>
      <c r="C65" s="7"/>
      <c r="D65" s="388"/>
      <c r="E65" s="388"/>
      <c r="F65" s="388"/>
      <c r="G65" s="388"/>
      <c r="H65" s="388"/>
      <c r="I65" s="388"/>
      <c r="J65" s="388"/>
      <c r="K65" s="353"/>
    </row>
    <row r="66" spans="1:36" ht="22.35" customHeight="1">
      <c r="A66" s="39" t="s">
        <v>221</v>
      </c>
      <c r="B66" s="6"/>
      <c r="C66" s="7"/>
      <c r="D66" s="388"/>
      <c r="E66" s="388"/>
      <c r="F66" s="388"/>
      <c r="G66" s="388"/>
      <c r="H66" s="388"/>
      <c r="I66" s="388"/>
      <c r="J66" s="388"/>
      <c r="K66" s="353"/>
    </row>
    <row r="67" spans="1:36" ht="22.35" customHeight="1">
      <c r="A67" s="39"/>
      <c r="B67" s="6"/>
      <c r="C67" s="7"/>
      <c r="D67" s="388"/>
      <c r="E67" s="388"/>
      <c r="F67" s="388"/>
      <c r="G67" s="388"/>
      <c r="H67" s="388"/>
      <c r="I67" s="388"/>
      <c r="J67" s="388"/>
      <c r="K67" s="353"/>
    </row>
    <row r="68" spans="1:36" ht="22.35" customHeight="1">
      <c r="A68" s="39"/>
      <c r="B68" s="6"/>
      <c r="C68" s="7"/>
      <c r="D68" s="410" t="s">
        <v>0</v>
      </c>
      <c r="E68" s="410"/>
      <c r="F68" s="410"/>
      <c r="G68" s="5"/>
      <c r="H68" s="410" t="s">
        <v>32</v>
      </c>
      <c r="I68" s="410"/>
      <c r="J68" s="410"/>
      <c r="K68" s="354"/>
    </row>
    <row r="69" spans="1:36" ht="22.35" customHeight="1">
      <c r="A69" s="39"/>
      <c r="B69" s="6"/>
      <c r="C69" s="7"/>
      <c r="D69" s="412" t="s">
        <v>73</v>
      </c>
      <c r="E69" s="412"/>
      <c r="F69" s="412"/>
      <c r="G69" s="56"/>
      <c r="H69" s="412" t="s">
        <v>73</v>
      </c>
      <c r="I69" s="412"/>
      <c r="J69" s="412"/>
      <c r="K69" s="352"/>
    </row>
    <row r="70" spans="1:36" ht="22.35" customHeight="1">
      <c r="A70" s="194" t="s">
        <v>37</v>
      </c>
      <c r="B70" s="57" t="s">
        <v>1</v>
      </c>
      <c r="C70" s="9"/>
      <c r="D70" s="56" t="s">
        <v>220</v>
      </c>
      <c r="E70" s="56"/>
      <c r="F70" s="56" t="s">
        <v>211</v>
      </c>
      <c r="G70" s="56"/>
      <c r="H70" s="56" t="s">
        <v>220</v>
      </c>
      <c r="I70" s="56"/>
      <c r="J70" s="56" t="s">
        <v>211</v>
      </c>
      <c r="K70" s="56"/>
    </row>
    <row r="71" spans="1:36" ht="22.35" customHeight="1">
      <c r="A71" s="59"/>
      <c r="B71" s="9"/>
      <c r="C71" s="9"/>
      <c r="D71" s="411" t="s">
        <v>100</v>
      </c>
      <c r="E71" s="411"/>
      <c r="F71" s="411"/>
      <c r="G71" s="411"/>
      <c r="H71" s="411"/>
      <c r="I71" s="411"/>
      <c r="J71" s="411"/>
      <c r="K71" s="353"/>
    </row>
    <row r="72" spans="1:36" ht="23.1" customHeight="1">
      <c r="A72" s="59" t="s">
        <v>8</v>
      </c>
      <c r="B72" s="9"/>
      <c r="C72" s="9"/>
      <c r="D72" s="388"/>
      <c r="E72" s="388"/>
      <c r="F72" s="388"/>
      <c r="G72" s="388"/>
      <c r="H72" s="388"/>
      <c r="I72" s="388"/>
      <c r="J72" s="388"/>
      <c r="K72" s="353"/>
    </row>
    <row r="73" spans="1:36" ht="23.1" customHeight="1">
      <c r="A73" s="31" t="s">
        <v>22</v>
      </c>
      <c r="B73" s="9">
        <v>18</v>
      </c>
      <c r="C73" s="9"/>
      <c r="D73" s="34"/>
      <c r="E73" s="35"/>
      <c r="F73" s="34"/>
      <c r="G73" s="5"/>
      <c r="H73" s="34"/>
      <c r="I73" s="5"/>
      <c r="J73" s="34"/>
      <c r="K73" s="34"/>
    </row>
    <row r="74" spans="1:36" ht="23.1" customHeight="1" thickBot="1">
      <c r="A74" s="11" t="s">
        <v>90</v>
      </c>
      <c r="B74" s="9"/>
      <c r="C74" s="9"/>
      <c r="D74" s="215">
        <v>591044298</v>
      </c>
      <c r="E74" s="17"/>
      <c r="F74" s="215">
        <v>591396798</v>
      </c>
      <c r="G74" s="14"/>
      <c r="H74" s="215">
        <v>591044298</v>
      </c>
      <c r="I74" s="15"/>
      <c r="J74" s="215">
        <v>591396798</v>
      </c>
      <c r="K74" s="242"/>
      <c r="L74" s="75"/>
      <c r="M74" s="75"/>
      <c r="N74" s="75"/>
      <c r="O74" s="76"/>
      <c r="P74" s="10"/>
    </row>
    <row r="75" spans="1:36" ht="23.1" customHeight="1" thickTop="1">
      <c r="A75" s="11" t="s">
        <v>112</v>
      </c>
      <c r="B75" s="9"/>
      <c r="C75" s="9"/>
      <c r="D75" s="36">
        <v>591044298</v>
      </c>
      <c r="E75" s="17"/>
      <c r="F75" s="36">
        <v>591044298</v>
      </c>
      <c r="G75" s="14"/>
      <c r="H75" s="36">
        <v>591044298</v>
      </c>
      <c r="I75" s="15"/>
      <c r="J75" s="36">
        <v>591044298</v>
      </c>
      <c r="K75" s="36"/>
      <c r="L75" s="105"/>
      <c r="M75" s="105"/>
      <c r="N75" s="75"/>
      <c r="O75" s="77"/>
      <c r="P75" s="10"/>
    </row>
    <row r="76" spans="1:36" ht="23.1" customHeight="1">
      <c r="A76" s="11" t="s">
        <v>38</v>
      </c>
      <c r="B76" s="9"/>
      <c r="C76" s="9"/>
      <c r="D76" s="13">
        <v>2160858725</v>
      </c>
      <c r="E76" s="15"/>
      <c r="F76" s="13">
        <v>2160858725</v>
      </c>
      <c r="G76" s="14"/>
      <c r="H76" s="13">
        <v>2160858725</v>
      </c>
      <c r="I76" s="15"/>
      <c r="J76" s="13">
        <v>2160858725</v>
      </c>
      <c r="K76" s="13"/>
      <c r="L76" s="105"/>
      <c r="M76" s="105"/>
      <c r="N76" s="75"/>
      <c r="O76" s="78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</row>
    <row r="77" spans="1:36" ht="21.75" hidden="1" customHeight="1">
      <c r="A77" s="11" t="s">
        <v>178</v>
      </c>
      <c r="B77" s="9"/>
      <c r="C77" s="9"/>
      <c r="D77" s="345">
        <v>0</v>
      </c>
      <c r="E77" s="15"/>
      <c r="F77" s="345">
        <v>0</v>
      </c>
      <c r="G77" s="14"/>
      <c r="H77" s="345">
        <v>0</v>
      </c>
      <c r="I77" s="15"/>
      <c r="J77" s="345">
        <v>0</v>
      </c>
      <c r="K77" s="202"/>
      <c r="L77" s="105"/>
      <c r="M77" s="105"/>
      <c r="N77" s="75"/>
      <c r="O77" s="78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</row>
    <row r="78" spans="1:36" ht="23.1" customHeight="1">
      <c r="A78" s="11" t="s">
        <v>27</v>
      </c>
      <c r="B78" s="9"/>
      <c r="D78" s="13"/>
      <c r="E78" s="14"/>
      <c r="F78" s="13"/>
      <c r="G78" s="14"/>
      <c r="H78" s="13"/>
      <c r="I78" s="14"/>
      <c r="J78" s="13"/>
      <c r="K78" s="13"/>
      <c r="L78" s="105"/>
      <c r="M78" s="105"/>
      <c r="N78" s="79"/>
      <c r="O78" s="8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</row>
    <row r="79" spans="1:36" ht="23.1" customHeight="1">
      <c r="A79" s="11" t="s">
        <v>94</v>
      </c>
      <c r="B79" s="9"/>
      <c r="D79" s="13"/>
      <c r="E79" s="14"/>
      <c r="F79" s="13"/>
      <c r="G79" s="14"/>
      <c r="H79" s="13"/>
      <c r="I79" s="14"/>
      <c r="J79" s="13"/>
      <c r="K79" s="13"/>
      <c r="L79" s="105"/>
      <c r="M79" s="105"/>
      <c r="N79" s="79"/>
      <c r="O79" s="8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</row>
    <row r="80" spans="1:36" ht="23.1" customHeight="1">
      <c r="A80" s="11" t="s">
        <v>110</v>
      </c>
      <c r="B80" s="9"/>
      <c r="D80" s="13">
        <v>59139680</v>
      </c>
      <c r="E80" s="14"/>
      <c r="F80" s="13">
        <v>59139680</v>
      </c>
      <c r="G80" s="14"/>
      <c r="H80" s="13">
        <v>59139680</v>
      </c>
      <c r="I80" s="14"/>
      <c r="J80" s="13">
        <v>59139680</v>
      </c>
      <c r="K80" s="13"/>
      <c r="L80" s="105"/>
      <c r="M80" s="105"/>
      <c r="N80" s="79"/>
      <c r="O80" s="8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</row>
    <row r="81" spans="1:16" ht="23.1" customHeight="1">
      <c r="A81" s="11" t="s">
        <v>45</v>
      </c>
      <c r="B81" s="9"/>
      <c r="D81" s="37">
        <f>11014502584-2</f>
        <v>11014502582</v>
      </c>
      <c r="E81" s="14"/>
      <c r="F81" s="37">
        <f>-122640072+24528015+11014770429-2</f>
        <v>10916658370</v>
      </c>
      <c r="G81" s="14"/>
      <c r="H81" s="14">
        <f>8263046301-52716308-7700959+10543262+1540192-1</f>
        <v>8214712487</v>
      </c>
      <c r="I81" s="14"/>
      <c r="J81" s="14">
        <f>-52716308+10543261+8034219590</f>
        <v>7992046543</v>
      </c>
      <c r="K81" s="275"/>
      <c r="L81" s="75"/>
      <c r="M81" s="75"/>
      <c r="N81" s="79"/>
      <c r="O81" s="80"/>
      <c r="P81" s="10"/>
    </row>
    <row r="82" spans="1:16" s="39" customFormat="1" ht="23.1" customHeight="1">
      <c r="A82" s="11" t="s">
        <v>53</v>
      </c>
      <c r="B82" s="9"/>
      <c r="D82" s="40">
        <f>-69577042+1</f>
        <v>-69577041</v>
      </c>
      <c r="E82" s="41"/>
      <c r="F82" s="40">
        <f>100641+2031480-2762936-38558460+1</f>
        <v>-39189274</v>
      </c>
      <c r="G82" s="41"/>
      <c r="H82" s="227">
        <v>1000658</v>
      </c>
      <c r="I82" s="101" t="s">
        <v>98</v>
      </c>
      <c r="J82" s="227">
        <v>1000658</v>
      </c>
      <c r="K82" s="118"/>
      <c r="L82" s="81"/>
      <c r="M82" s="81"/>
      <c r="N82" s="82"/>
      <c r="O82" s="80"/>
      <c r="P82" s="62"/>
    </row>
    <row r="83" spans="1:16" s="39" customFormat="1" ht="23.1" customHeight="1">
      <c r="A83" s="42" t="s">
        <v>111</v>
      </c>
      <c r="B83" s="38"/>
      <c r="C83" s="38"/>
      <c r="D83" s="222">
        <f>SUM(D75:D82)</f>
        <v>13755968244</v>
      </c>
      <c r="E83" s="63"/>
      <c r="F83" s="222">
        <f>SUM(F75:F82)</f>
        <v>13688511799</v>
      </c>
      <c r="G83" s="41"/>
      <c r="H83" s="223">
        <f>SUM(H75:H82)</f>
        <v>11026755848</v>
      </c>
      <c r="I83" s="41"/>
      <c r="J83" s="223">
        <f>SUM(J75:J82)</f>
        <v>10804089904</v>
      </c>
      <c r="K83" s="223"/>
      <c r="L83" s="81"/>
      <c r="M83" s="81"/>
      <c r="N83" s="81"/>
      <c r="O83" s="224"/>
      <c r="P83" s="62"/>
    </row>
    <row r="84" spans="1:16" ht="23.1" customHeight="1">
      <c r="A84" s="31" t="s">
        <v>96</v>
      </c>
      <c r="B84" s="9"/>
      <c r="C84" s="9"/>
      <c r="D84" s="37">
        <v>62091090</v>
      </c>
      <c r="E84" s="14"/>
      <c r="F84" s="37">
        <v>60770912</v>
      </c>
      <c r="G84" s="14"/>
      <c r="H84" s="227">
        <v>0</v>
      </c>
      <c r="I84" s="99"/>
      <c r="J84" s="227">
        <v>0</v>
      </c>
      <c r="K84" s="118"/>
      <c r="L84" s="75"/>
      <c r="M84" s="75"/>
      <c r="N84" s="75"/>
      <c r="O84" s="80"/>
      <c r="P84" s="10"/>
    </row>
    <row r="85" spans="1:16" ht="23.1" customHeight="1">
      <c r="A85" s="42" t="s">
        <v>9</v>
      </c>
      <c r="B85" s="9"/>
      <c r="C85" s="9"/>
      <c r="D85" s="61">
        <f>SUM(D83:D84)</f>
        <v>13818059334</v>
      </c>
      <c r="E85" s="63"/>
      <c r="F85" s="61">
        <f>SUM(F83:F84)</f>
        <v>13749282711</v>
      </c>
      <c r="G85" s="41"/>
      <c r="H85" s="61">
        <f>SUM(H83:H84)</f>
        <v>11026755848</v>
      </c>
      <c r="I85" s="41"/>
      <c r="J85" s="61">
        <f>SUM(J83:J84)</f>
        <v>10804089904</v>
      </c>
      <c r="K85" s="193"/>
      <c r="L85" s="81"/>
      <c r="M85" s="81"/>
      <c r="N85" s="81"/>
      <c r="O85" s="80"/>
      <c r="P85" s="10"/>
    </row>
    <row r="86" spans="1:16" ht="21.75" customHeight="1">
      <c r="A86" s="42"/>
      <c r="B86" s="9"/>
      <c r="C86" s="9"/>
      <c r="D86" s="193"/>
      <c r="E86" s="63"/>
      <c r="F86" s="193"/>
      <c r="G86" s="41"/>
      <c r="H86" s="193"/>
      <c r="I86" s="41"/>
      <c r="J86" s="193"/>
      <c r="K86" s="193"/>
      <c r="L86" s="75"/>
      <c r="M86" s="75"/>
      <c r="N86" s="75"/>
      <c r="O86" s="80"/>
      <c r="P86" s="10"/>
    </row>
    <row r="87" spans="1:16" ht="23.1" customHeight="1" thickBot="1">
      <c r="A87" s="86" t="s">
        <v>10</v>
      </c>
      <c r="B87" s="9"/>
      <c r="C87" s="9"/>
      <c r="D87" s="64">
        <f>D63+D85</f>
        <v>18415681111</v>
      </c>
      <c r="E87" s="63"/>
      <c r="F87" s="64">
        <f>F63+F85</f>
        <v>19193317961</v>
      </c>
      <c r="G87" s="41"/>
      <c r="H87" s="64">
        <f>H63+H85</f>
        <v>14193155587</v>
      </c>
      <c r="I87" s="63"/>
      <c r="J87" s="64">
        <f>J63+J85</f>
        <v>14382729868</v>
      </c>
      <c r="K87" s="193"/>
      <c r="L87" s="81"/>
      <c r="M87" s="81"/>
      <c r="N87" s="81"/>
      <c r="O87" s="15"/>
      <c r="P87" s="15"/>
    </row>
    <row r="88" spans="1:16" ht="21.75" customHeight="1" thickTop="1">
      <c r="A88" s="24"/>
      <c r="C88" s="5"/>
      <c r="D88" s="338">
        <f>D33-D87</f>
        <v>0</v>
      </c>
      <c r="E88" s="99"/>
      <c r="F88" s="98"/>
      <c r="G88" s="99"/>
      <c r="H88" s="338">
        <f>H33-H87</f>
        <v>0</v>
      </c>
      <c r="I88" s="99"/>
      <c r="J88" s="98"/>
      <c r="K88" s="98"/>
    </row>
    <row r="89" spans="1:16" ht="28.5" customHeight="1"/>
  </sheetData>
  <mergeCells count="15">
    <mergeCell ref="D69:F69"/>
    <mergeCell ref="H69:J69"/>
    <mergeCell ref="D71:J71"/>
    <mergeCell ref="D39:F39"/>
    <mergeCell ref="H39:J39"/>
    <mergeCell ref="D68:F68"/>
    <mergeCell ref="H68:J68"/>
    <mergeCell ref="H38:J38"/>
    <mergeCell ref="D41:J41"/>
    <mergeCell ref="D4:F4"/>
    <mergeCell ref="H4:J4"/>
    <mergeCell ref="D7:J7"/>
    <mergeCell ref="D38:F38"/>
    <mergeCell ref="D5:F5"/>
    <mergeCell ref="H5:J5"/>
  </mergeCells>
  <phoneticPr fontId="4" type="noConversion"/>
  <printOptions horizontalCentered="1"/>
  <pageMargins left="0.8" right="0.8" top="0.48" bottom="0.5" header="0.4" footer="0.5"/>
  <pageSetup paperSize="9" scale="77" firstPageNumber="6" fitToHeight="0" orientation="portrait" useFirstPageNumber="1" r:id="rId1"/>
  <headerFooter>
    <oddHeader>&amp;C</oddHeader>
    <oddFooter xml:space="preserve">&amp;L&amp;"Angsana New,Regular"&amp;15หมายเหตุประกอบงบการเงินเป็นส่วนหนึ่งของงบการเงินนี้&amp;C&amp;"Angsana New,Regular"&amp;15&amp;P&amp;R&amp;"Angsana New,Italic"&amp;15 </oddFooter>
  </headerFooter>
  <rowBreaks count="2" manualBreakCount="2">
    <brk id="34" max="16383" man="1"/>
    <brk id="6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6"/>
  <sheetViews>
    <sheetView showGridLines="0" zoomScale="115" zoomScaleNormal="115" zoomScaleSheetLayoutView="100" workbookViewId="0">
      <selection activeCell="D53" sqref="D53"/>
    </sheetView>
  </sheetViews>
  <sheetFormatPr defaultColWidth="9.140625" defaultRowHeight="19.5" customHeight="1"/>
  <cols>
    <col min="1" max="1" width="48" style="3" customWidth="1"/>
    <col min="2" max="2" width="6.7109375" style="4" customWidth="1"/>
    <col min="3" max="3" width="0.5703125" style="4" customWidth="1"/>
    <col min="4" max="4" width="15.85546875" style="25" customWidth="1"/>
    <col min="5" max="5" width="1" style="4" customWidth="1"/>
    <col min="6" max="6" width="15.5703125" style="25" customWidth="1"/>
    <col min="7" max="7" width="1" style="10" customWidth="1"/>
    <col min="8" max="8" width="16.42578125" style="25" customWidth="1"/>
    <col min="9" max="9" width="1" style="4" customWidth="1"/>
    <col min="10" max="10" width="15.85546875" style="25" customWidth="1"/>
    <col min="11" max="11" width="2.42578125" style="4" customWidth="1"/>
    <col min="12" max="12" width="14.140625" style="4" bestFit="1" customWidth="1"/>
    <col min="13" max="13" width="18.7109375" style="4" customWidth="1"/>
    <col min="14" max="14" width="16.140625" style="4" customWidth="1"/>
    <col min="15" max="15" width="12.85546875" style="4" bestFit="1" customWidth="1"/>
    <col min="16" max="16384" width="9.140625" style="4"/>
  </cols>
  <sheetData>
    <row r="1" spans="1:15" s="1" customFormat="1" ht="22.7" customHeight="1">
      <c r="A1" s="84" t="s">
        <v>105</v>
      </c>
      <c r="B1" s="39"/>
      <c r="C1" s="39"/>
      <c r="D1" s="39"/>
      <c r="E1" s="39"/>
      <c r="F1" s="39"/>
      <c r="G1" s="39"/>
      <c r="H1" s="39"/>
      <c r="I1" s="39"/>
      <c r="J1" s="39"/>
      <c r="L1" s="4"/>
      <c r="M1" s="4"/>
      <c r="N1" s="4"/>
      <c r="O1" s="4"/>
    </row>
    <row r="2" spans="1:15" s="1" customFormat="1" ht="22.7" customHeight="1">
      <c r="A2" s="85" t="s">
        <v>54</v>
      </c>
      <c r="B2" s="39"/>
      <c r="C2" s="39"/>
      <c r="D2" s="39"/>
      <c r="E2" s="39"/>
      <c r="F2" s="39"/>
      <c r="G2" s="39"/>
      <c r="H2" s="39"/>
      <c r="I2" s="39"/>
      <c r="J2" s="39"/>
    </row>
    <row r="3" spans="1:15" s="1" customFormat="1" ht="22.7" customHeight="1">
      <c r="A3" s="2"/>
      <c r="B3" s="2"/>
      <c r="C3" s="2"/>
      <c r="D3" s="2"/>
      <c r="E3" s="2"/>
      <c r="F3" s="2"/>
      <c r="G3" s="2"/>
      <c r="H3" s="2"/>
      <c r="I3" s="2"/>
      <c r="J3" s="2"/>
    </row>
    <row r="4" spans="1:15" ht="22.7" customHeight="1">
      <c r="C4" s="5"/>
      <c r="D4" s="410" t="s">
        <v>0</v>
      </c>
      <c r="E4" s="410"/>
      <c r="F4" s="410"/>
      <c r="G4" s="5"/>
      <c r="H4" s="410" t="s">
        <v>32</v>
      </c>
      <c r="I4" s="410"/>
      <c r="J4" s="410"/>
      <c r="L4" s="1"/>
      <c r="M4" s="1"/>
      <c r="N4" s="1"/>
      <c r="O4" s="1"/>
    </row>
    <row r="5" spans="1:15" ht="45" customHeight="1">
      <c r="C5" s="5"/>
      <c r="D5" s="413" t="s">
        <v>101</v>
      </c>
      <c r="E5" s="413"/>
      <c r="F5" s="413"/>
      <c r="G5" s="5"/>
      <c r="H5" s="413" t="s">
        <v>101</v>
      </c>
      <c r="I5" s="413"/>
      <c r="J5" s="413"/>
      <c r="L5" s="1"/>
      <c r="M5" s="1"/>
      <c r="N5" s="1"/>
      <c r="O5" s="1"/>
    </row>
    <row r="6" spans="1:15" ht="22.35" customHeight="1">
      <c r="B6" s="57" t="s">
        <v>1</v>
      </c>
      <c r="C6" s="7"/>
      <c r="D6" s="56" t="s">
        <v>220</v>
      </c>
      <c r="E6" s="56"/>
      <c r="F6" s="56" t="s">
        <v>211</v>
      </c>
      <c r="G6" s="56"/>
      <c r="H6" s="56" t="s">
        <v>220</v>
      </c>
      <c r="I6" s="56"/>
      <c r="J6" s="56" t="s">
        <v>211</v>
      </c>
    </row>
    <row r="7" spans="1:15" ht="22.35" customHeight="1">
      <c r="B7" s="6"/>
      <c r="C7" s="7"/>
      <c r="D7" s="411" t="s">
        <v>100</v>
      </c>
      <c r="E7" s="411"/>
      <c r="F7" s="411"/>
      <c r="G7" s="411"/>
      <c r="H7" s="411"/>
      <c r="I7" s="411"/>
      <c r="J7" s="411"/>
    </row>
    <row r="8" spans="1:15" ht="22.35" customHeight="1">
      <c r="A8" s="65" t="s">
        <v>23</v>
      </c>
      <c r="B8" s="9"/>
    </row>
    <row r="9" spans="1:15" ht="21.75" customHeight="1">
      <c r="A9" s="7" t="s">
        <v>91</v>
      </c>
      <c r="B9" s="228">
        <v>19</v>
      </c>
      <c r="C9" s="9"/>
      <c r="D9" s="44">
        <v>14832847061</v>
      </c>
      <c r="E9" s="15"/>
      <c r="F9" s="44">
        <v>16343630238</v>
      </c>
      <c r="G9" s="14"/>
      <c r="H9" s="44">
        <f>8407450285+70421370</f>
        <v>8477871655</v>
      </c>
      <c r="I9" s="15"/>
      <c r="J9" s="44">
        <v>9510453227</v>
      </c>
    </row>
    <row r="10" spans="1:15" ht="21.75" hidden="1" customHeight="1">
      <c r="A10" s="7" t="s">
        <v>71</v>
      </c>
      <c r="B10" s="9">
        <v>3</v>
      </c>
      <c r="D10" s="192"/>
      <c r="E10" s="14"/>
      <c r="F10" s="192"/>
      <c r="G10" s="14"/>
      <c r="H10" s="196"/>
      <c r="I10" s="14"/>
      <c r="J10" s="196"/>
    </row>
    <row r="11" spans="1:15" ht="21.75" customHeight="1">
      <c r="A11" s="7" t="s">
        <v>46</v>
      </c>
      <c r="B11" s="228">
        <v>10</v>
      </c>
      <c r="D11" s="202">
        <v>0</v>
      </c>
      <c r="E11" s="14"/>
      <c r="F11" s="202">
        <v>0</v>
      </c>
      <c r="G11" s="23"/>
      <c r="H11" s="106">
        <v>1372585682</v>
      </c>
      <c r="I11" s="23"/>
      <c r="J11" s="106">
        <v>1601702263</v>
      </c>
    </row>
    <row r="12" spans="1:15" ht="21.75" customHeight="1">
      <c r="A12" s="7" t="s">
        <v>118</v>
      </c>
      <c r="B12" s="228">
        <v>9</v>
      </c>
      <c r="D12" s="202">
        <v>0</v>
      </c>
      <c r="E12" s="14"/>
      <c r="F12" s="202">
        <v>0</v>
      </c>
      <c r="G12" s="23"/>
      <c r="H12" s="202">
        <v>13667872</v>
      </c>
      <c r="I12" s="23"/>
      <c r="J12" s="202">
        <v>16271265</v>
      </c>
    </row>
    <row r="13" spans="1:15" ht="21.75" customHeight="1">
      <c r="A13" s="7" t="s">
        <v>39</v>
      </c>
      <c r="B13" s="228"/>
      <c r="D13" s="44">
        <f>11126865+107092796-50206100+25256243+149843393-29948107+163872771+552368</f>
        <v>377590229</v>
      </c>
      <c r="E13" s="14"/>
      <c r="F13" s="44">
        <f>2396307+108647974+23976372+159938149+44771979</f>
        <v>339730781</v>
      </c>
      <c r="G13" s="14"/>
      <c r="H13" s="44">
        <f>3724234+53643889-29177205+30263360+107791535+552368</f>
        <v>166798181</v>
      </c>
      <c r="I13" s="14"/>
      <c r="J13" s="44">
        <f>912491+67966715+27988449+101639049+31817066</f>
        <v>230323770</v>
      </c>
    </row>
    <row r="14" spans="1:15" s="39" customFormat="1" ht="21.75" customHeight="1">
      <c r="A14" s="43" t="s">
        <v>24</v>
      </c>
      <c r="B14" s="38"/>
      <c r="D14" s="66">
        <f>SUM(D9:D13)</f>
        <v>15210437290</v>
      </c>
      <c r="E14" s="41"/>
      <c r="F14" s="66">
        <f>SUM(F9:F13)</f>
        <v>16683361019</v>
      </c>
      <c r="G14" s="41"/>
      <c r="H14" s="66">
        <f>SUM(H9:H13)</f>
        <v>10030923390</v>
      </c>
      <c r="I14" s="41"/>
      <c r="J14" s="66">
        <f>SUM(J9:J13)</f>
        <v>11358750525</v>
      </c>
      <c r="L14" s="4"/>
      <c r="M14" s="4"/>
      <c r="N14" s="4"/>
      <c r="O14" s="4"/>
    </row>
    <row r="15" spans="1:15" ht="14.45" customHeight="1">
      <c r="A15" s="43"/>
      <c r="B15" s="9"/>
      <c r="D15" s="14"/>
      <c r="E15" s="14"/>
      <c r="F15" s="14"/>
      <c r="G15" s="14"/>
      <c r="H15" s="14"/>
      <c r="I15" s="14"/>
      <c r="J15" s="14"/>
      <c r="L15" s="39"/>
      <c r="M15" s="39"/>
      <c r="N15" s="39"/>
      <c r="O15" s="39"/>
    </row>
    <row r="16" spans="1:15" ht="21.75" customHeight="1">
      <c r="A16" s="65" t="s">
        <v>25</v>
      </c>
      <c r="B16" s="9"/>
      <c r="D16" s="44"/>
      <c r="E16" s="14"/>
      <c r="F16" s="44"/>
      <c r="G16" s="14"/>
      <c r="H16" s="44"/>
      <c r="I16" s="14"/>
      <c r="J16" s="44"/>
    </row>
    <row r="17" spans="1:15" ht="21.75" customHeight="1">
      <c r="A17" s="7" t="s">
        <v>92</v>
      </c>
      <c r="B17" s="9">
        <v>20</v>
      </c>
      <c r="D17" s="44">
        <v>11571188313</v>
      </c>
      <c r="E17" s="44"/>
      <c r="F17" s="44">
        <v>12940633602</v>
      </c>
      <c r="G17" s="44"/>
      <c r="H17" s="44">
        <v>7113452245</v>
      </c>
      <c r="I17" s="15"/>
      <c r="J17" s="44">
        <v>7997755094</v>
      </c>
    </row>
    <row r="18" spans="1:15" ht="21.75" customHeight="1">
      <c r="A18" s="7" t="s">
        <v>132</v>
      </c>
      <c r="B18" s="9">
        <v>20</v>
      </c>
      <c r="C18" s="7"/>
      <c r="D18" s="44">
        <v>458279368</v>
      </c>
      <c r="E18" s="44"/>
      <c r="F18" s="44">
        <v>515168029</v>
      </c>
      <c r="G18" s="44"/>
      <c r="H18" s="44">
        <v>439756873</v>
      </c>
      <c r="I18" s="14"/>
      <c r="J18" s="44">
        <v>488072588</v>
      </c>
    </row>
    <row r="19" spans="1:15" s="10" customFormat="1" ht="21.75" customHeight="1">
      <c r="A19" s="7" t="s">
        <v>48</v>
      </c>
      <c r="B19" s="9">
        <v>20</v>
      </c>
      <c r="D19" s="44">
        <v>1348332351</v>
      </c>
      <c r="E19" s="23"/>
      <c r="F19" s="44">
        <f>1096728186+14533451-5907978-112931+153727700</f>
        <v>1258968428</v>
      </c>
      <c r="G19" s="23"/>
      <c r="H19" s="44">
        <f>546652827+22192718-2837401+39415318+60080650</f>
        <v>665504112</v>
      </c>
      <c r="I19" s="14"/>
      <c r="J19" s="44">
        <f>570041200+10728884-795952+54820526</f>
        <v>634794658</v>
      </c>
      <c r="L19" s="4"/>
      <c r="M19" s="4"/>
      <c r="N19" s="4"/>
      <c r="O19" s="4"/>
    </row>
    <row r="20" spans="1:15" s="39" customFormat="1" ht="21.6" customHeight="1">
      <c r="A20" s="43" t="s">
        <v>26</v>
      </c>
      <c r="D20" s="66">
        <f>SUM(D17:D19)</f>
        <v>13377800032</v>
      </c>
      <c r="E20" s="41"/>
      <c r="F20" s="66">
        <f>SUM(F17:F19)</f>
        <v>14714770059</v>
      </c>
      <c r="G20" s="41"/>
      <c r="H20" s="66">
        <f>SUM(H17:H19)</f>
        <v>8218713230</v>
      </c>
      <c r="I20" s="41"/>
      <c r="J20" s="66">
        <f>SUM(J17:J19)</f>
        <v>9120622340</v>
      </c>
      <c r="L20" s="4"/>
      <c r="M20" s="4"/>
      <c r="N20" s="4"/>
      <c r="O20" s="4"/>
    </row>
    <row r="21" spans="1:15" ht="14.45" customHeight="1">
      <c r="A21" s="43"/>
      <c r="D21" s="14"/>
      <c r="E21" s="14"/>
      <c r="F21" s="14"/>
      <c r="G21" s="14"/>
      <c r="H21" s="14"/>
      <c r="I21" s="14"/>
      <c r="J21" s="14"/>
      <c r="L21" s="39"/>
      <c r="M21" s="39"/>
      <c r="N21" s="39"/>
      <c r="O21" s="39"/>
    </row>
    <row r="22" spans="1:15" ht="21.75">
      <c r="A22" s="256" t="s">
        <v>179</v>
      </c>
      <c r="D22" s="41">
        <f>D14-D20</f>
        <v>1832637258</v>
      </c>
      <c r="E22" s="14"/>
      <c r="F22" s="41">
        <f>F14-F20</f>
        <v>1968590960</v>
      </c>
      <c r="G22" s="14"/>
      <c r="H22" s="41">
        <f>H14-H20</f>
        <v>1812210160</v>
      </c>
      <c r="I22" s="14"/>
      <c r="J22" s="41">
        <f>J14-J20</f>
        <v>2238128185</v>
      </c>
      <c r="L22" s="39"/>
      <c r="M22" s="39"/>
      <c r="N22" s="39"/>
      <c r="O22" s="39"/>
    </row>
    <row r="23" spans="1:15" ht="21.75">
      <c r="A23" s="7" t="s">
        <v>74</v>
      </c>
      <c r="D23" s="44">
        <f>-51798468</f>
        <v>-51798468</v>
      </c>
      <c r="E23" s="14"/>
      <c r="F23" s="44">
        <v>-103794020</v>
      </c>
      <c r="G23" s="14"/>
      <c r="H23" s="44">
        <v>-31534921</v>
      </c>
      <c r="I23" s="14"/>
      <c r="J23" s="44">
        <v>-69088683</v>
      </c>
      <c r="L23" s="39"/>
      <c r="M23" s="39"/>
      <c r="N23" s="39"/>
      <c r="O23" s="39"/>
    </row>
    <row r="24" spans="1:15" ht="21.75" customHeight="1">
      <c r="A24" s="7" t="s">
        <v>124</v>
      </c>
      <c r="B24" s="9">
        <v>9</v>
      </c>
      <c r="D24" s="40">
        <v>17304039</v>
      </c>
      <c r="E24" s="14"/>
      <c r="F24" s="40">
        <v>14169662</v>
      </c>
      <c r="G24" s="14"/>
      <c r="H24" s="227">
        <v>0</v>
      </c>
      <c r="I24" s="99"/>
      <c r="J24" s="227">
        <v>0</v>
      </c>
      <c r="K24" s="45"/>
    </row>
    <row r="25" spans="1:15" s="39" customFormat="1" ht="21.75" customHeight="1">
      <c r="A25" s="47" t="s">
        <v>86</v>
      </c>
      <c r="B25" s="38"/>
      <c r="D25" s="257">
        <f>D14-D20+D23+D24</f>
        <v>1798142829</v>
      </c>
      <c r="E25" s="41"/>
      <c r="F25" s="257">
        <f>F14-F20+F23+F24</f>
        <v>1878966602</v>
      </c>
      <c r="G25" s="41"/>
      <c r="H25" s="257">
        <f>H14-H20+H23+H24</f>
        <v>1780675239</v>
      </c>
      <c r="I25" s="41"/>
      <c r="J25" s="257">
        <f>J14-J20+J23+J24</f>
        <v>2169039502</v>
      </c>
      <c r="L25" s="4"/>
      <c r="M25" s="4"/>
      <c r="N25" s="4"/>
      <c r="O25" s="4"/>
    </row>
    <row r="26" spans="1:15" ht="21.75" customHeight="1">
      <c r="A26" s="258" t="s">
        <v>204</v>
      </c>
      <c r="B26" s="9">
        <v>21</v>
      </c>
      <c r="D26" s="40">
        <v>-119739168</v>
      </c>
      <c r="E26" s="14"/>
      <c r="F26" s="40">
        <v>-131493397</v>
      </c>
      <c r="G26" s="99"/>
      <c r="H26" s="40">
        <f>1933529-17066882</f>
        <v>-15133353</v>
      </c>
      <c r="I26" s="99"/>
      <c r="J26" s="40">
        <v>-28760063</v>
      </c>
      <c r="K26" s="45"/>
      <c r="L26" s="39"/>
      <c r="M26" s="39"/>
      <c r="N26" s="39"/>
      <c r="O26" s="39"/>
    </row>
    <row r="27" spans="1:15" s="39" customFormat="1" ht="21.75" customHeight="1">
      <c r="A27" s="49" t="s">
        <v>102</v>
      </c>
      <c r="D27" s="259">
        <f>SUM(D25:D26)</f>
        <v>1678403661</v>
      </c>
      <c r="E27" s="41"/>
      <c r="F27" s="259">
        <f>SUM(F25:F26)</f>
        <v>1747473205</v>
      </c>
      <c r="G27" s="41"/>
      <c r="H27" s="259">
        <f>SUM(H25:H26)</f>
        <v>1765541886</v>
      </c>
      <c r="I27" s="41"/>
      <c r="J27" s="259">
        <f>SUM(J25:J26)</f>
        <v>2140279439</v>
      </c>
      <c r="L27" s="4"/>
      <c r="M27" s="4"/>
      <c r="N27" s="4"/>
      <c r="O27" s="4"/>
    </row>
    <row r="28" spans="1:15" ht="14.45" customHeight="1">
      <c r="A28" s="48"/>
      <c r="D28" s="14"/>
      <c r="E28" s="14"/>
      <c r="F28" s="14"/>
      <c r="G28" s="14"/>
      <c r="H28" s="98"/>
      <c r="I28" s="14"/>
      <c r="J28" s="98"/>
      <c r="L28" s="39"/>
      <c r="M28" s="39"/>
      <c r="N28" s="39"/>
      <c r="O28" s="39"/>
    </row>
    <row r="29" spans="1:15" ht="21.75" customHeight="1">
      <c r="A29" s="49" t="s">
        <v>72</v>
      </c>
      <c r="B29" s="9"/>
      <c r="D29" s="17"/>
      <c r="E29" s="17"/>
      <c r="F29" s="17"/>
      <c r="G29" s="17"/>
      <c r="H29" s="17"/>
      <c r="I29" s="17"/>
      <c r="J29" s="17"/>
    </row>
    <row r="30" spans="1:15" ht="21.75" customHeight="1">
      <c r="A30" s="260" t="s">
        <v>133</v>
      </c>
      <c r="B30" s="9"/>
      <c r="D30" s="17"/>
      <c r="E30" s="17"/>
      <c r="F30" s="17"/>
      <c r="G30" s="17"/>
      <c r="H30" s="17"/>
      <c r="I30" s="17"/>
      <c r="J30" s="17"/>
    </row>
    <row r="31" spans="1:15" ht="21.75" customHeight="1">
      <c r="A31" s="48" t="s">
        <v>134</v>
      </c>
      <c r="B31" s="9"/>
      <c r="D31" s="306">
        <v>-30387767</v>
      </c>
      <c r="E31" s="17"/>
      <c r="F31" s="306">
        <v>-5494915</v>
      </c>
      <c r="G31" s="99"/>
      <c r="H31" s="227">
        <v>0</v>
      </c>
      <c r="I31" s="99"/>
      <c r="J31" s="227">
        <v>0</v>
      </c>
    </row>
    <row r="32" spans="1:15" ht="21.75" customHeight="1">
      <c r="A32" s="49" t="s">
        <v>161</v>
      </c>
      <c r="B32" s="9"/>
      <c r="D32" s="5"/>
      <c r="E32" s="17"/>
      <c r="F32" s="5"/>
      <c r="G32" s="17"/>
      <c r="H32" s="118"/>
      <c r="I32" s="99"/>
      <c r="J32" s="118"/>
    </row>
    <row r="33" spans="1:15" ht="21.75" customHeight="1">
      <c r="A33" s="229" t="s">
        <v>167</v>
      </c>
      <c r="B33" s="9"/>
      <c r="D33" s="197">
        <f>SUM(D31:D31)</f>
        <v>-30387767</v>
      </c>
      <c r="E33" s="198"/>
      <c r="F33" s="197">
        <f>SUM(F31:F31)</f>
        <v>-5494915</v>
      </c>
      <c r="G33" s="17"/>
      <c r="H33" s="271">
        <f>SUM(H31:H31)</f>
        <v>0</v>
      </c>
      <c r="I33" s="213"/>
      <c r="J33" s="271">
        <f>SUM(J31:J31)</f>
        <v>0</v>
      </c>
    </row>
    <row r="34" spans="1:15" ht="14.45" customHeight="1">
      <c r="A34" s="219"/>
      <c r="B34" s="9"/>
      <c r="D34" s="220"/>
      <c r="E34" s="198"/>
      <c r="F34" s="220"/>
      <c r="G34" s="17"/>
      <c r="H34" s="221"/>
      <c r="I34" s="213"/>
      <c r="J34" s="221"/>
    </row>
    <row r="35" spans="1:15" ht="21.75" customHeight="1">
      <c r="A35" s="260" t="s">
        <v>135</v>
      </c>
      <c r="B35" s="9"/>
      <c r="D35" s="220"/>
      <c r="E35" s="198"/>
      <c r="F35" s="220"/>
      <c r="G35" s="17"/>
      <c r="H35" s="221"/>
      <c r="I35" s="213"/>
      <c r="J35" s="221"/>
    </row>
    <row r="36" spans="1:15" ht="21.75" customHeight="1">
      <c r="A36" s="258" t="s">
        <v>227</v>
      </c>
      <c r="B36" s="9"/>
      <c r="D36" s="17"/>
      <c r="E36" s="17"/>
      <c r="F36" s="17"/>
      <c r="G36" s="17"/>
      <c r="H36" s="17"/>
      <c r="I36" s="17"/>
      <c r="J36" s="17"/>
    </row>
    <row r="37" spans="1:15" ht="21.75" customHeight="1">
      <c r="A37" s="258" t="s">
        <v>155</v>
      </c>
      <c r="B37" s="9">
        <v>17</v>
      </c>
      <c r="D37" s="14">
        <v>-17374564</v>
      </c>
      <c r="E37" s="245"/>
      <c r="F37" s="118">
        <v>0</v>
      </c>
      <c r="G37" s="245"/>
      <c r="H37" s="14">
        <v>-7700959</v>
      </c>
      <c r="I37" s="245"/>
      <c r="J37" s="118">
        <v>0</v>
      </c>
    </row>
    <row r="38" spans="1:15" ht="21.75" customHeight="1">
      <c r="A38" s="258" t="s">
        <v>156</v>
      </c>
      <c r="B38" s="9"/>
      <c r="D38" s="245"/>
      <c r="E38" s="245"/>
      <c r="F38" s="245"/>
      <c r="G38" s="245"/>
      <c r="H38" s="245"/>
      <c r="I38" s="245"/>
      <c r="J38" s="245"/>
    </row>
    <row r="39" spans="1:15" ht="21.75" customHeight="1">
      <c r="A39" s="258" t="s">
        <v>168</v>
      </c>
      <c r="B39" s="9">
        <v>21</v>
      </c>
      <c r="D39" s="392">
        <f>3474913</f>
        <v>3474913</v>
      </c>
      <c r="E39" s="245"/>
      <c r="F39" s="227">
        <v>0</v>
      </c>
      <c r="G39" s="245"/>
      <c r="H39" s="387">
        <v>1540192</v>
      </c>
      <c r="I39" s="245"/>
      <c r="J39" s="227">
        <v>0</v>
      </c>
    </row>
    <row r="40" spans="1:15" ht="21.75" customHeight="1">
      <c r="A40" s="261" t="s">
        <v>140</v>
      </c>
      <c r="B40" s="9"/>
      <c r="D40" s="102"/>
      <c r="E40" s="245"/>
      <c r="F40" s="102"/>
      <c r="G40" s="245"/>
      <c r="H40" s="102"/>
      <c r="I40" s="245"/>
      <c r="J40" s="102"/>
    </row>
    <row r="41" spans="1:15" ht="21.75" customHeight="1">
      <c r="A41" s="49" t="s">
        <v>141</v>
      </c>
      <c r="B41" s="9"/>
      <c r="D41" s="385">
        <f>SUM(D37:D39)</f>
        <v>-13899651</v>
      </c>
      <c r="E41" s="246"/>
      <c r="F41" s="324">
        <f>SUM(F37:F39)</f>
        <v>0</v>
      </c>
      <c r="G41" s="246"/>
      <c r="H41" s="385">
        <f>SUM(H37:H39)</f>
        <v>-6160767</v>
      </c>
      <c r="I41" s="246"/>
      <c r="J41" s="324">
        <f>SUM(J37:J39)</f>
        <v>0</v>
      </c>
    </row>
    <row r="42" spans="1:15" s="39" customFormat="1" ht="21.75" customHeight="1">
      <c r="A42" s="49" t="s">
        <v>236</v>
      </c>
      <c r="B42" s="38"/>
      <c r="D42" s="350">
        <f>D41+D33</f>
        <v>-44287418</v>
      </c>
      <c r="E42" s="199"/>
      <c r="F42" s="66">
        <f>F41+F33</f>
        <v>-5494915</v>
      </c>
      <c r="G42" s="199"/>
      <c r="H42" s="66">
        <f>H41+H33</f>
        <v>-6160767</v>
      </c>
      <c r="I42" s="200"/>
      <c r="J42" s="324">
        <f>J41+J33</f>
        <v>0</v>
      </c>
      <c r="L42" s="4"/>
      <c r="M42" s="4"/>
      <c r="N42" s="4"/>
      <c r="O42" s="4"/>
    </row>
    <row r="43" spans="1:15" s="39" customFormat="1" ht="21.75" customHeight="1" thickBot="1">
      <c r="A43" s="261" t="s">
        <v>107</v>
      </c>
      <c r="B43" s="38"/>
      <c r="D43" s="351">
        <f>SUM(D27,D42)</f>
        <v>1634116243</v>
      </c>
      <c r="E43" s="199"/>
      <c r="F43" s="201">
        <f>SUM(F27,F42)</f>
        <v>1741978290</v>
      </c>
      <c r="G43" s="199"/>
      <c r="H43" s="342">
        <f>SUM(H27,H42)</f>
        <v>1759381119</v>
      </c>
      <c r="I43" s="199"/>
      <c r="J43" s="201">
        <f>SUM(J27,J42)</f>
        <v>2140279439</v>
      </c>
    </row>
    <row r="44" spans="1:15" s="1" customFormat="1" ht="21.75" customHeight="1" thickTop="1">
      <c r="B44" s="39"/>
      <c r="C44" s="39"/>
      <c r="D44" s="39"/>
      <c r="E44" s="39"/>
      <c r="F44" s="39"/>
      <c r="G44" s="39"/>
      <c r="H44" s="39"/>
      <c r="I44" s="39"/>
      <c r="J44" s="39"/>
      <c r="L44" s="4"/>
      <c r="M44" s="4"/>
      <c r="N44" s="4"/>
      <c r="O44" s="4"/>
    </row>
    <row r="45" spans="1:15" s="1" customFormat="1" ht="22.7" customHeight="1">
      <c r="A45" s="84" t="s">
        <v>105</v>
      </c>
      <c r="B45" s="39"/>
      <c r="C45" s="39"/>
      <c r="D45" s="39"/>
      <c r="E45" s="39"/>
      <c r="F45" s="39"/>
      <c r="G45" s="39"/>
      <c r="H45" s="39"/>
      <c r="I45" s="39"/>
      <c r="J45" s="39"/>
    </row>
    <row r="46" spans="1:15" s="1" customFormat="1" ht="22.7" customHeight="1">
      <c r="A46" s="85" t="s">
        <v>54</v>
      </c>
      <c r="B46" s="262"/>
      <c r="C46" s="263"/>
      <c r="D46" s="262"/>
      <c r="E46" s="263"/>
      <c r="F46" s="262"/>
      <c r="G46" s="264"/>
      <c r="H46" s="22"/>
      <c r="I46" s="7"/>
      <c r="J46" s="22"/>
    </row>
    <row r="47" spans="1:15" s="1" customFormat="1" ht="22.7" customHeight="1">
      <c r="A47" s="85"/>
      <c r="B47" s="262"/>
      <c r="C47" s="263"/>
      <c r="D47" s="262"/>
      <c r="E47" s="263"/>
      <c r="F47" s="262"/>
      <c r="G47" s="264"/>
      <c r="H47" s="22"/>
      <c r="I47" s="7"/>
      <c r="J47" s="22"/>
    </row>
    <row r="48" spans="1:15" ht="22.7" customHeight="1">
      <c r="C48" s="5"/>
      <c r="D48" s="410" t="s">
        <v>0</v>
      </c>
      <c r="E48" s="410"/>
      <c r="F48" s="410"/>
      <c r="G48" s="5"/>
      <c r="H48" s="410" t="s">
        <v>32</v>
      </c>
      <c r="I48" s="410"/>
      <c r="J48" s="410"/>
      <c r="L48" s="1"/>
      <c r="M48" s="1"/>
      <c r="N48" s="1"/>
      <c r="O48" s="1"/>
    </row>
    <row r="49" spans="1:15" ht="45" customHeight="1">
      <c r="C49" s="5"/>
      <c r="D49" s="413" t="s">
        <v>101</v>
      </c>
      <c r="E49" s="413"/>
      <c r="F49" s="413"/>
      <c r="G49" s="5"/>
      <c r="H49" s="413" t="s">
        <v>101</v>
      </c>
      <c r="I49" s="413"/>
      <c r="J49" s="413"/>
      <c r="L49" s="1"/>
      <c r="M49" s="1"/>
      <c r="N49" s="1"/>
      <c r="O49" s="1"/>
    </row>
    <row r="50" spans="1:15" ht="22.7" customHeight="1">
      <c r="B50" s="57"/>
      <c r="C50" s="7"/>
      <c r="D50" s="56" t="s">
        <v>220</v>
      </c>
      <c r="E50" s="56"/>
      <c r="F50" s="56" t="s">
        <v>211</v>
      </c>
      <c r="G50" s="56"/>
      <c r="H50" s="56" t="s">
        <v>220</v>
      </c>
      <c r="I50" s="56"/>
      <c r="J50" s="56" t="s">
        <v>211</v>
      </c>
    </row>
    <row r="51" spans="1:15" ht="22.7" customHeight="1">
      <c r="B51" s="6"/>
      <c r="C51" s="7"/>
      <c r="D51" s="411" t="s">
        <v>100</v>
      </c>
      <c r="E51" s="411"/>
      <c r="F51" s="411"/>
      <c r="G51" s="411"/>
      <c r="H51" s="411"/>
      <c r="I51" s="411"/>
      <c r="J51" s="411"/>
    </row>
    <row r="52" spans="1:15" s="247" customFormat="1" ht="21.75" customHeight="1">
      <c r="A52" s="265" t="s">
        <v>87</v>
      </c>
      <c r="B52" s="9"/>
      <c r="D52" s="244"/>
      <c r="E52" s="244"/>
      <c r="F52" s="244"/>
      <c r="G52" s="244"/>
      <c r="H52" s="244"/>
      <c r="I52" s="244"/>
      <c r="J52" s="244"/>
      <c r="L52" s="4"/>
      <c r="M52" s="4"/>
      <c r="N52" s="4"/>
      <c r="O52" s="4"/>
    </row>
    <row r="53" spans="1:15" s="247" customFormat="1" ht="21.75" customHeight="1">
      <c r="A53" s="48" t="s">
        <v>99</v>
      </c>
      <c r="B53" s="9"/>
      <c r="D53" s="212">
        <f>D55-D54</f>
        <v>1648459038</v>
      </c>
      <c r="E53" s="244"/>
      <c r="F53" s="212">
        <f>F55-F54</f>
        <v>1719581960</v>
      </c>
      <c r="G53" s="244"/>
      <c r="H53" s="212">
        <f>H55-H54</f>
        <v>1765541886</v>
      </c>
      <c r="I53" s="244"/>
      <c r="J53" s="212">
        <f>J55-J54</f>
        <v>2140279439</v>
      </c>
      <c r="M53" s="266"/>
    </row>
    <row r="54" spans="1:15" s="247" customFormat="1" ht="21.75" customHeight="1">
      <c r="A54" s="48" t="s">
        <v>88</v>
      </c>
      <c r="B54" s="9"/>
      <c r="D54" s="212">
        <f>29944623</f>
        <v>29944623</v>
      </c>
      <c r="E54" s="244"/>
      <c r="F54" s="212">
        <v>27891245</v>
      </c>
      <c r="G54" s="244"/>
      <c r="H54" s="227">
        <v>0</v>
      </c>
      <c r="I54" s="99"/>
      <c r="J54" s="227">
        <v>0</v>
      </c>
    </row>
    <row r="55" spans="1:15" s="248" customFormat="1" ht="21.75" customHeight="1" thickBot="1">
      <c r="A55" s="265" t="s">
        <v>102</v>
      </c>
      <c r="B55" s="38"/>
      <c r="D55" s="243">
        <f>D27</f>
        <v>1678403661</v>
      </c>
      <c r="E55" s="249"/>
      <c r="F55" s="243">
        <f>F27</f>
        <v>1747473205</v>
      </c>
      <c r="G55" s="249"/>
      <c r="H55" s="243">
        <f>H27</f>
        <v>1765541886</v>
      </c>
      <c r="I55" s="244"/>
      <c r="J55" s="243">
        <f>J27</f>
        <v>2140279439</v>
      </c>
      <c r="L55" s="247"/>
      <c r="M55" s="247"/>
      <c r="N55" s="247"/>
      <c r="O55" s="247"/>
    </row>
    <row r="56" spans="1:15" s="247" customFormat="1" ht="21.75" customHeight="1" thickTop="1">
      <c r="A56" s="267"/>
      <c r="B56" s="9"/>
      <c r="D56" s="250"/>
      <c r="E56" s="251"/>
      <c r="F56" s="250"/>
      <c r="G56" s="251"/>
      <c r="H56" s="250"/>
      <c r="I56" s="251"/>
      <c r="J56" s="250"/>
      <c r="L56" s="248"/>
      <c r="M56" s="248"/>
      <c r="N56" s="248"/>
      <c r="O56" s="248"/>
    </row>
    <row r="57" spans="1:15" ht="21.75" customHeight="1">
      <c r="A57" s="43" t="s">
        <v>109</v>
      </c>
      <c r="B57" s="9"/>
      <c r="D57" s="17"/>
      <c r="E57" s="17"/>
      <c r="F57" s="17"/>
      <c r="G57" s="17"/>
      <c r="H57" s="17"/>
      <c r="I57" s="17"/>
      <c r="J57" s="17"/>
      <c r="L57" s="247"/>
      <c r="M57" s="247"/>
      <c r="N57" s="247"/>
      <c r="O57" s="247"/>
    </row>
    <row r="58" spans="1:15" ht="21.75" customHeight="1">
      <c r="A58" s="48" t="str">
        <f>A53</f>
        <v xml:space="preserve">     ส่วนที่เป็นของบริษัทใหญ่</v>
      </c>
      <c r="B58" s="9"/>
      <c r="D58" s="17">
        <f>D43-D59</f>
        <v>1604171620</v>
      </c>
      <c r="E58" s="17"/>
      <c r="F58" s="226">
        <f>F43-F59</f>
        <v>1714087045</v>
      </c>
      <c r="G58" s="17"/>
      <c r="H58" s="17">
        <f>H43-H59</f>
        <v>1759381119</v>
      </c>
      <c r="I58" s="244"/>
      <c r="J58" s="17">
        <f>J43</f>
        <v>2140279439</v>
      </c>
    </row>
    <row r="59" spans="1:15" ht="21.75" customHeight="1">
      <c r="A59" s="48" t="s">
        <v>88</v>
      </c>
      <c r="B59" s="9"/>
      <c r="D59" s="17">
        <f>D54</f>
        <v>29944623</v>
      </c>
      <c r="E59" s="17"/>
      <c r="F59" s="17">
        <v>27891245</v>
      </c>
      <c r="G59" s="17"/>
      <c r="H59" s="227">
        <v>0</v>
      </c>
      <c r="I59" s="99"/>
      <c r="J59" s="227">
        <v>0</v>
      </c>
    </row>
    <row r="60" spans="1:15" s="39" customFormat="1" ht="21.75" customHeight="1" thickBot="1">
      <c r="A60" s="265" t="s">
        <v>107</v>
      </c>
      <c r="B60" s="38"/>
      <c r="D60" s="243">
        <f>SUM(D58:D59)</f>
        <v>1634116243</v>
      </c>
      <c r="E60" s="62"/>
      <c r="F60" s="243">
        <f>SUM(F58:F59)</f>
        <v>1741978290</v>
      </c>
      <c r="G60" s="62"/>
      <c r="H60" s="243">
        <f>SUM(H58:H59)</f>
        <v>1759381119</v>
      </c>
      <c r="I60" s="17"/>
      <c r="J60" s="243">
        <f>SUM(J58:J59)</f>
        <v>2140279439</v>
      </c>
      <c r="L60" s="4"/>
      <c r="M60" s="4"/>
      <c r="N60" s="4"/>
      <c r="O60" s="4"/>
    </row>
    <row r="61" spans="1:15" s="39" customFormat="1" ht="21.75" customHeight="1" thickTop="1">
      <c r="A61" s="265"/>
      <c r="B61" s="38"/>
      <c r="D61" s="41"/>
      <c r="E61" s="62"/>
      <c r="F61" s="41"/>
      <c r="G61" s="62"/>
      <c r="H61" s="47"/>
      <c r="I61" s="62"/>
      <c r="J61" s="47"/>
    </row>
    <row r="62" spans="1:15" s="247" customFormat="1" ht="21.75" customHeight="1">
      <c r="A62" s="268" t="s">
        <v>190</v>
      </c>
      <c r="B62" s="9"/>
      <c r="D62" s="250"/>
      <c r="E62" s="251"/>
      <c r="F62" s="250"/>
      <c r="G62" s="251"/>
      <c r="H62" s="250"/>
      <c r="I62" s="251"/>
      <c r="J62" s="250"/>
      <c r="L62" s="39"/>
      <c r="M62" s="39"/>
      <c r="N62" s="39"/>
      <c r="O62" s="39"/>
    </row>
    <row r="63" spans="1:15" s="247" customFormat="1" ht="21.75" customHeight="1" thickBot="1">
      <c r="A63" s="269" t="s">
        <v>191</v>
      </c>
      <c r="B63" s="9"/>
      <c r="D63" s="252">
        <f>D53/1182064332</f>
        <v>1.3945594950918458</v>
      </c>
      <c r="E63" s="253"/>
      <c r="F63" s="252">
        <f>F53/1182064332</f>
        <v>1.4547278971615227</v>
      </c>
      <c r="G63" s="253"/>
      <c r="H63" s="252">
        <f>H53/1182064333</f>
        <v>1.4936089658666658</v>
      </c>
      <c r="I63" s="253"/>
      <c r="J63" s="252">
        <f>J53/1181792000</f>
        <v>1.8110458007838943</v>
      </c>
    </row>
    <row r="64" spans="1:15" s="247" customFormat="1" ht="24.6" hidden="1" customHeight="1" thickTop="1">
      <c r="A64" s="269"/>
      <c r="B64" s="9"/>
      <c r="D64" s="254"/>
      <c r="E64" s="255"/>
      <c r="F64" s="254"/>
      <c r="G64" s="255"/>
      <c r="H64" s="254"/>
      <c r="I64" s="255"/>
      <c r="J64" s="254"/>
    </row>
    <row r="65" spans="1:10" s="247" customFormat="1" ht="21.75" customHeight="1" thickTop="1">
      <c r="A65" s="269"/>
      <c r="B65" s="9"/>
      <c r="D65" s="254"/>
      <c r="E65" s="255"/>
      <c r="F65" s="254"/>
      <c r="G65" s="255"/>
      <c r="H65" s="254"/>
      <c r="I65" s="255"/>
      <c r="J65" s="254"/>
    </row>
    <row r="66" spans="1:10" s="247" customFormat="1" ht="21.75" customHeight="1">
      <c r="A66" s="269"/>
      <c r="B66" s="9"/>
      <c r="D66" s="254"/>
      <c r="E66" s="255"/>
      <c r="F66" s="254"/>
      <c r="G66" s="255"/>
      <c r="H66" s="254"/>
      <c r="I66" s="255"/>
      <c r="J66" s="254"/>
    </row>
  </sheetData>
  <mergeCells count="10">
    <mergeCell ref="D49:F49"/>
    <mergeCell ref="H49:J49"/>
    <mergeCell ref="D51:J51"/>
    <mergeCell ref="D4:F4"/>
    <mergeCell ref="H4:J4"/>
    <mergeCell ref="D5:F5"/>
    <mergeCell ref="H5:J5"/>
    <mergeCell ref="D7:J7"/>
    <mergeCell ref="D48:F48"/>
    <mergeCell ref="H48:J48"/>
  </mergeCells>
  <printOptions horizontalCentered="1"/>
  <pageMargins left="0.8" right="0.8" top="0.48" bottom="0.5" header="0.4" footer="0.5"/>
  <pageSetup paperSize="9" scale="75" firstPageNumber="9" fitToHeight="0" orientation="portrait" useFirstPageNumber="1" r:id="rId1"/>
  <headerFooter>
    <oddHeader>&amp;C</oddHeader>
    <oddFooter xml:space="preserve">&amp;L&amp;"Angsana New,Regular"&amp;15หมายเหตุประกอบงบการเงินเป็นส่วนหนึ่งของงบการเงินนี้&amp;C&amp;"Angsana New,Regular"&amp;15&amp;P&amp;R&amp;"Angsana New,Italic"&amp;15 </oddFooter>
  </headerFooter>
  <rowBreaks count="1" manualBreakCount="1">
    <brk id="4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57"/>
  <sheetViews>
    <sheetView showGridLines="0" topLeftCell="A41" zoomScale="70" zoomScaleNormal="70" zoomScaleSheetLayoutView="85" workbookViewId="0">
      <selection activeCell="D53" sqref="D53"/>
    </sheetView>
  </sheetViews>
  <sheetFormatPr defaultColWidth="10.7109375" defaultRowHeight="21"/>
  <cols>
    <col min="1" max="1" width="42.85546875" style="145" customWidth="1"/>
    <col min="2" max="2" width="9" style="145" customWidth="1"/>
    <col min="3" max="3" width="7.140625" style="145" customWidth="1"/>
    <col min="4" max="4" width="11.5703125" style="138" hidden="1" customWidth="1"/>
    <col min="5" max="5" width="1" style="140" customWidth="1"/>
    <col min="6" max="6" width="13.140625" style="138" bestFit="1" customWidth="1"/>
    <col min="7" max="7" width="1" style="140" customWidth="1"/>
    <col min="8" max="8" width="12.7109375" style="138" customWidth="1"/>
    <col min="9" max="9" width="1" style="138" customWidth="1"/>
    <col min="10" max="10" width="13" style="138" customWidth="1"/>
    <col min="11" max="11" width="1" style="138" customWidth="1"/>
    <col min="12" max="12" width="16.7109375" style="138" bestFit="1" customWidth="1"/>
    <col min="13" max="13" width="1" style="140" customWidth="1"/>
    <col min="14" max="14" width="13.42578125" style="138" customWidth="1"/>
    <col min="15" max="15" width="1" style="138" customWidth="1"/>
    <col min="16" max="16" width="12.85546875" style="138" customWidth="1"/>
    <col min="17" max="17" width="1" style="140" customWidth="1"/>
    <col min="18" max="18" width="13.140625" style="138" customWidth="1"/>
    <col min="19" max="19" width="1" style="140" customWidth="1"/>
    <col min="20" max="20" width="13.42578125" style="138" customWidth="1"/>
    <col min="21" max="21" width="1" style="138" customWidth="1"/>
    <col min="22" max="22" width="15.140625" style="138" customWidth="1"/>
    <col min="23" max="23" width="1" style="138" customWidth="1"/>
    <col min="24" max="24" width="14.140625" style="138" customWidth="1"/>
    <col min="25" max="25" width="1" style="145" customWidth="1"/>
    <col min="26" max="26" width="14" style="145" bestFit="1" customWidth="1"/>
    <col min="27" max="27" width="1" style="145" customWidth="1"/>
    <col min="28" max="28" width="14.140625" style="145" customWidth="1"/>
    <col min="29" max="29" width="15.7109375" style="145" bestFit="1" customWidth="1"/>
    <col min="30" max="16384" width="10.7109375" style="145"/>
  </cols>
  <sheetData>
    <row r="1" spans="1:28" ht="21.75">
      <c r="A1" s="96" t="s">
        <v>105</v>
      </c>
      <c r="B1" s="96"/>
      <c r="C1" s="356"/>
      <c r="D1" s="139"/>
      <c r="E1" s="139"/>
      <c r="F1" s="210"/>
      <c r="G1" s="139"/>
      <c r="H1" s="210"/>
      <c r="I1" s="210"/>
      <c r="J1" s="210"/>
      <c r="K1" s="210"/>
      <c r="L1" s="210"/>
      <c r="M1" s="139"/>
      <c r="N1" s="210"/>
      <c r="O1" s="210"/>
      <c r="P1" s="210"/>
      <c r="Q1" s="139"/>
      <c r="R1" s="210"/>
      <c r="S1" s="139"/>
      <c r="T1" s="210"/>
      <c r="U1" s="210"/>
      <c r="V1" s="210"/>
      <c r="W1" s="210"/>
      <c r="X1" s="210"/>
      <c r="Z1" s="211"/>
    </row>
    <row r="2" spans="1:28" ht="21.75">
      <c r="A2" s="97" t="s">
        <v>225</v>
      </c>
      <c r="B2" s="97"/>
      <c r="C2" s="357"/>
      <c r="D2" s="139"/>
      <c r="E2" s="139"/>
      <c r="F2" s="210"/>
      <c r="G2" s="139"/>
      <c r="H2" s="210"/>
      <c r="I2" s="210"/>
      <c r="J2" s="210"/>
      <c r="K2" s="210"/>
      <c r="L2" s="210"/>
      <c r="M2" s="139"/>
      <c r="N2" s="210"/>
      <c r="O2" s="210"/>
      <c r="P2" s="210"/>
      <c r="Q2" s="139"/>
      <c r="R2" s="210"/>
      <c r="S2" s="139"/>
      <c r="T2" s="210"/>
      <c r="U2" s="210"/>
      <c r="V2" s="210"/>
      <c r="W2" s="210"/>
      <c r="X2" s="210"/>
      <c r="Z2" s="211"/>
    </row>
    <row r="3" spans="1:28">
      <c r="A3" s="147"/>
      <c r="B3" s="147"/>
      <c r="C3" s="112"/>
      <c r="D3" s="358"/>
      <c r="E3" s="358"/>
      <c r="F3" s="415" t="s">
        <v>0</v>
      </c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5"/>
      <c r="Z3" s="415"/>
      <c r="AA3" s="415"/>
      <c r="AB3" s="415"/>
    </row>
    <row r="4" spans="1:28">
      <c r="A4" s="147"/>
      <c r="B4" s="147"/>
      <c r="C4" s="113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416" t="s">
        <v>53</v>
      </c>
      <c r="Q4" s="416"/>
      <c r="R4" s="416"/>
      <c r="S4" s="416"/>
      <c r="T4" s="416"/>
      <c r="U4" s="416"/>
      <c r="V4" s="416"/>
      <c r="W4" s="112"/>
      <c r="X4" s="112"/>
      <c r="Y4" s="112"/>
      <c r="Z4" s="112"/>
      <c r="AA4" s="112"/>
      <c r="AB4" s="112"/>
    </row>
    <row r="5" spans="1:28">
      <c r="A5" s="147"/>
      <c r="B5" s="147"/>
      <c r="C5" s="113"/>
      <c r="D5" s="359"/>
      <c r="E5" s="112"/>
      <c r="F5" s="147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46" t="s">
        <v>43</v>
      </c>
      <c r="S5" s="112"/>
      <c r="T5" s="112"/>
      <c r="U5" s="112"/>
      <c r="V5" s="112"/>
      <c r="W5" s="112"/>
      <c r="X5" s="112"/>
      <c r="Y5" s="112"/>
      <c r="Z5" s="112"/>
      <c r="AA5" s="112"/>
      <c r="AB5" s="112"/>
    </row>
    <row r="6" spans="1:28">
      <c r="A6" s="147"/>
      <c r="B6" s="147"/>
      <c r="C6" s="113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47"/>
      <c r="Q6" s="147"/>
      <c r="R6" s="146" t="s">
        <v>44</v>
      </c>
      <c r="S6" s="112"/>
      <c r="T6" s="112"/>
      <c r="U6" s="112"/>
      <c r="V6" s="112"/>
      <c r="W6" s="112"/>
      <c r="X6" s="112"/>
      <c r="Y6" s="112"/>
      <c r="Z6" s="112"/>
      <c r="AA6" s="147"/>
      <c r="AB6" s="147"/>
    </row>
    <row r="7" spans="1:28">
      <c r="A7" s="147"/>
      <c r="B7" s="147"/>
      <c r="C7" s="113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47"/>
      <c r="R7" s="146" t="s">
        <v>55</v>
      </c>
      <c r="S7" s="112"/>
      <c r="T7" s="147"/>
      <c r="U7" s="112"/>
      <c r="V7" s="147"/>
      <c r="W7" s="147"/>
      <c r="X7" s="112"/>
      <c r="Y7" s="112"/>
      <c r="Z7" s="147"/>
      <c r="AA7" s="112"/>
      <c r="AB7" s="112"/>
    </row>
    <row r="8" spans="1:28">
      <c r="A8" s="147"/>
      <c r="B8" s="147"/>
      <c r="C8" s="113"/>
      <c r="D8" s="112"/>
      <c r="E8" s="112"/>
      <c r="F8" s="112"/>
      <c r="G8" s="112"/>
      <c r="H8" s="112"/>
      <c r="I8" s="112"/>
      <c r="J8" s="112"/>
      <c r="K8" s="112"/>
      <c r="L8" s="417" t="s">
        <v>27</v>
      </c>
      <c r="M8" s="417"/>
      <c r="N8" s="417"/>
      <c r="O8" s="112"/>
      <c r="P8" s="112"/>
      <c r="Q8" s="147"/>
      <c r="R8" s="146" t="s">
        <v>56</v>
      </c>
      <c r="S8" s="112"/>
      <c r="T8" s="113"/>
      <c r="U8" s="112"/>
      <c r="V8" s="113"/>
      <c r="W8" s="147"/>
      <c r="X8" s="112"/>
      <c r="Y8" s="112"/>
      <c r="Z8" s="148" t="s">
        <v>139</v>
      </c>
      <c r="AA8" s="112"/>
      <c r="AB8" s="112"/>
    </row>
    <row r="9" spans="1:28">
      <c r="A9" s="147"/>
      <c r="B9" s="147"/>
      <c r="C9" s="113"/>
      <c r="D9" s="112"/>
      <c r="E9" s="112"/>
      <c r="F9" s="112"/>
      <c r="G9" s="112"/>
      <c r="H9" s="112"/>
      <c r="I9" s="112"/>
      <c r="J9" s="360" t="s">
        <v>182</v>
      </c>
      <c r="K9" s="112"/>
      <c r="L9" s="418"/>
      <c r="M9" s="418"/>
      <c r="N9" s="147"/>
      <c r="O9" s="112"/>
      <c r="P9" s="148"/>
      <c r="Q9" s="147"/>
      <c r="R9" s="148" t="s">
        <v>58</v>
      </c>
      <c r="S9" s="112"/>
      <c r="T9" s="113" t="s">
        <v>121</v>
      </c>
      <c r="U9" s="112"/>
      <c r="V9" s="113" t="s">
        <v>18</v>
      </c>
      <c r="W9" s="147"/>
      <c r="Y9" s="112"/>
      <c r="Z9" s="148" t="s">
        <v>57</v>
      </c>
      <c r="AA9" s="112"/>
      <c r="AB9" s="112"/>
    </row>
    <row r="10" spans="1:28">
      <c r="A10" s="113"/>
      <c r="B10" s="113"/>
      <c r="C10" s="113"/>
      <c r="D10" s="148"/>
      <c r="E10" s="112"/>
      <c r="F10" s="148" t="s">
        <v>212</v>
      </c>
      <c r="G10" s="112"/>
      <c r="H10" s="148" t="s">
        <v>15</v>
      </c>
      <c r="I10" s="112"/>
      <c r="J10" s="361" t="s">
        <v>183</v>
      </c>
      <c r="K10" s="113"/>
      <c r="L10" s="148" t="s">
        <v>136</v>
      </c>
      <c r="M10" s="146"/>
      <c r="N10" s="148" t="s">
        <v>61</v>
      </c>
      <c r="O10" s="148"/>
      <c r="P10" s="113" t="s">
        <v>137</v>
      </c>
      <c r="Q10" s="113"/>
      <c r="R10" s="113" t="s">
        <v>31</v>
      </c>
      <c r="S10" s="148"/>
      <c r="T10" s="113" t="s">
        <v>122</v>
      </c>
      <c r="U10" s="148"/>
      <c r="V10" s="113" t="s">
        <v>62</v>
      </c>
      <c r="W10" s="113"/>
      <c r="X10" s="148" t="s">
        <v>59</v>
      </c>
      <c r="Y10" s="148"/>
      <c r="Z10" s="148" t="s">
        <v>60</v>
      </c>
      <c r="AA10" s="148"/>
      <c r="AB10" s="108" t="s">
        <v>40</v>
      </c>
    </row>
    <row r="11" spans="1:28">
      <c r="A11" s="238"/>
      <c r="B11" s="238"/>
      <c r="C11" s="362" t="s">
        <v>1</v>
      </c>
      <c r="D11" s="148"/>
      <c r="E11" s="112"/>
      <c r="F11" s="148" t="s">
        <v>16</v>
      </c>
      <c r="G11" s="112"/>
      <c r="H11" s="148" t="s">
        <v>17</v>
      </c>
      <c r="I11" s="112"/>
      <c r="J11" s="361" t="s">
        <v>184</v>
      </c>
      <c r="K11" s="112"/>
      <c r="L11" s="148" t="s">
        <v>64</v>
      </c>
      <c r="M11" s="149"/>
      <c r="N11" s="148" t="s">
        <v>65</v>
      </c>
      <c r="O11" s="149"/>
      <c r="P11" s="148" t="s">
        <v>66</v>
      </c>
      <c r="Q11" s="112"/>
      <c r="R11" s="148" t="s">
        <v>67</v>
      </c>
      <c r="S11" s="149"/>
      <c r="T11" s="148" t="s">
        <v>123</v>
      </c>
      <c r="U11" s="149"/>
      <c r="V11" s="148" t="s">
        <v>68</v>
      </c>
      <c r="W11" s="112"/>
      <c r="X11" s="148" t="s">
        <v>138</v>
      </c>
      <c r="Y11" s="149"/>
      <c r="Z11" s="148" t="s">
        <v>63</v>
      </c>
      <c r="AA11" s="149"/>
      <c r="AB11" s="109" t="s">
        <v>69</v>
      </c>
    </row>
    <row r="12" spans="1:28">
      <c r="A12" s="113"/>
      <c r="B12" s="113"/>
      <c r="C12" s="362"/>
      <c r="D12" s="150"/>
      <c r="E12" s="150"/>
      <c r="F12" s="414" t="s">
        <v>100</v>
      </c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  <c r="T12" s="414"/>
      <c r="U12" s="414"/>
      <c r="V12" s="414"/>
      <c r="W12" s="414"/>
      <c r="X12" s="414"/>
      <c r="Y12" s="414"/>
      <c r="Z12" s="414"/>
      <c r="AA12" s="414"/>
      <c r="AB12" s="414"/>
    </row>
    <row r="13" spans="1:28">
      <c r="A13" s="238" t="s">
        <v>208</v>
      </c>
      <c r="B13" s="238"/>
      <c r="C13" s="362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363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</row>
    <row r="14" spans="1:28">
      <c r="A14" s="238" t="s">
        <v>209</v>
      </c>
      <c r="B14" s="238"/>
      <c r="C14" s="364"/>
      <c r="D14" s="151"/>
      <c r="E14" s="151"/>
      <c r="F14" s="151">
        <v>590982798</v>
      </c>
      <c r="G14" s="151"/>
      <c r="H14" s="151">
        <v>2156722646</v>
      </c>
      <c r="I14" s="151"/>
      <c r="J14" s="151">
        <v>738677</v>
      </c>
      <c r="K14" s="151"/>
      <c r="L14" s="151">
        <v>59139680</v>
      </c>
      <c r="M14" s="152"/>
      <c r="N14" s="151">
        <v>10615582725</v>
      </c>
      <c r="O14" s="152"/>
      <c r="P14" s="151">
        <v>2832620</v>
      </c>
      <c r="Q14" s="151"/>
      <c r="R14" s="151">
        <v>-38558460</v>
      </c>
      <c r="S14" s="152"/>
      <c r="T14" s="151">
        <v>2031481</v>
      </c>
      <c r="U14" s="152"/>
      <c r="V14" s="151">
        <f>SUM(P14:T14)</f>
        <v>-33694359</v>
      </c>
      <c r="W14" s="151"/>
      <c r="X14" s="151">
        <f>SUM(F14:T14)</f>
        <v>13389472167</v>
      </c>
      <c r="Y14" s="152"/>
      <c r="Z14" s="151">
        <v>55834860</v>
      </c>
      <c r="AA14" s="152"/>
      <c r="AB14" s="285">
        <f>SUM(X14:Z14)</f>
        <v>13445307027</v>
      </c>
    </row>
    <row r="15" spans="1:28">
      <c r="A15" s="238" t="s">
        <v>162</v>
      </c>
      <c r="B15" s="238"/>
      <c r="C15" s="113"/>
      <c r="D15" s="156"/>
      <c r="E15" s="156"/>
      <c r="F15" s="153"/>
      <c r="G15" s="156"/>
      <c r="H15" s="153"/>
      <c r="I15" s="156"/>
      <c r="J15" s="153"/>
      <c r="K15" s="153"/>
      <c r="L15" s="153"/>
      <c r="M15" s="153"/>
      <c r="N15" s="153"/>
      <c r="O15" s="156"/>
      <c r="P15" s="153"/>
      <c r="Q15" s="154"/>
      <c r="R15" s="153"/>
      <c r="S15" s="156"/>
      <c r="T15" s="154"/>
      <c r="U15" s="156"/>
      <c r="V15" s="154"/>
      <c r="W15" s="154"/>
      <c r="X15" s="153"/>
      <c r="Y15" s="153"/>
      <c r="Z15" s="153"/>
      <c r="AA15" s="155"/>
      <c r="AB15" s="155"/>
    </row>
    <row r="16" spans="1:28">
      <c r="A16" s="237" t="s">
        <v>237</v>
      </c>
      <c r="B16" s="365"/>
      <c r="C16" s="366"/>
      <c r="D16" s="156"/>
      <c r="E16" s="155"/>
      <c r="F16" s="156"/>
      <c r="G16" s="155"/>
      <c r="H16" s="156"/>
      <c r="I16" s="155"/>
      <c r="J16" s="156"/>
      <c r="K16" s="155"/>
      <c r="L16" s="156"/>
      <c r="M16" s="155"/>
      <c r="N16" s="156"/>
      <c r="O16" s="155"/>
      <c r="P16" s="156"/>
      <c r="Q16" s="155"/>
      <c r="R16" s="153"/>
      <c r="S16" s="155"/>
      <c r="T16" s="155"/>
      <c r="U16" s="155"/>
      <c r="V16" s="155"/>
      <c r="W16" s="155"/>
      <c r="X16" s="153"/>
      <c r="Y16" s="155"/>
      <c r="Z16" s="156"/>
      <c r="AA16" s="155"/>
      <c r="AB16" s="155"/>
    </row>
    <row r="17" spans="1:29">
      <c r="A17" s="236" t="s">
        <v>180</v>
      </c>
      <c r="B17" s="365"/>
      <c r="C17" s="366">
        <v>18</v>
      </c>
      <c r="D17" s="156"/>
      <c r="E17" s="155"/>
      <c r="F17" s="156">
        <v>61500</v>
      </c>
      <c r="G17" s="154"/>
      <c r="H17" s="156">
        <v>3355440</v>
      </c>
      <c r="I17" s="154"/>
      <c r="J17" s="156">
        <v>-159900</v>
      </c>
      <c r="K17" s="154"/>
      <c r="L17" s="203">
        <v>0</v>
      </c>
      <c r="M17" s="154"/>
      <c r="N17" s="203">
        <v>0</v>
      </c>
      <c r="O17" s="154"/>
      <c r="P17" s="203">
        <v>0</v>
      </c>
      <c r="Q17" s="154"/>
      <c r="R17" s="203">
        <v>0</v>
      </c>
      <c r="S17" s="154"/>
      <c r="T17" s="203">
        <v>0</v>
      </c>
      <c r="U17" s="154"/>
      <c r="V17" s="203">
        <f>SUM(P17:T17)</f>
        <v>0</v>
      </c>
      <c r="W17" s="154"/>
      <c r="X17" s="290">
        <f>SUM(F17:T17)</f>
        <v>3257040</v>
      </c>
      <c r="Y17" s="154"/>
      <c r="Z17" s="203">
        <v>0</v>
      </c>
      <c r="AA17" s="154"/>
      <c r="AB17" s="291">
        <f>SUM(X17:Z17)</f>
        <v>3257040</v>
      </c>
      <c r="AC17" s="340"/>
    </row>
    <row r="18" spans="1:29">
      <c r="A18" s="236" t="s">
        <v>181</v>
      </c>
      <c r="B18" s="365"/>
      <c r="C18" s="366"/>
      <c r="D18" s="156"/>
      <c r="E18" s="155"/>
      <c r="F18" s="203">
        <v>0</v>
      </c>
      <c r="G18" s="307"/>
      <c r="H18" s="386">
        <v>780639</v>
      </c>
      <c r="I18" s="154"/>
      <c r="J18" s="156">
        <v>-578777</v>
      </c>
      <c r="K18" s="154"/>
      <c r="L18" s="203">
        <v>0</v>
      </c>
      <c r="M18" s="154"/>
      <c r="N18" s="203">
        <v>0</v>
      </c>
      <c r="O18" s="154"/>
      <c r="P18" s="203">
        <v>0</v>
      </c>
      <c r="Q18" s="154"/>
      <c r="R18" s="203">
        <v>0</v>
      </c>
      <c r="S18" s="154"/>
      <c r="T18" s="203">
        <v>0</v>
      </c>
      <c r="U18" s="154"/>
      <c r="V18" s="203">
        <f>SUM(P18:T18)</f>
        <v>0</v>
      </c>
      <c r="W18" s="154"/>
      <c r="X18" s="290">
        <f>SUM(F18:T18)</f>
        <v>201862</v>
      </c>
      <c r="Y18" s="154"/>
      <c r="Z18" s="203">
        <v>0</v>
      </c>
      <c r="AA18" s="154"/>
      <c r="AB18" s="291">
        <f>SUM(X18:Z18)</f>
        <v>201862</v>
      </c>
    </row>
    <row r="19" spans="1:29">
      <c r="A19" s="236" t="s">
        <v>97</v>
      </c>
      <c r="B19" s="236"/>
      <c r="C19" s="366">
        <v>22</v>
      </c>
      <c r="D19" s="203"/>
      <c r="E19" s="203"/>
      <c r="F19" s="204">
        <v>0</v>
      </c>
      <c r="G19" s="203"/>
      <c r="H19" s="204">
        <v>0</v>
      </c>
      <c r="I19" s="203"/>
      <c r="J19" s="204">
        <v>0</v>
      </c>
      <c r="K19" s="158"/>
      <c r="L19" s="204">
        <v>0</v>
      </c>
      <c r="M19" s="317"/>
      <c r="N19" s="313">
        <v>-1418506315</v>
      </c>
      <c r="O19" s="318"/>
      <c r="P19" s="204">
        <v>0</v>
      </c>
      <c r="Q19" s="158"/>
      <c r="R19" s="204">
        <v>0</v>
      </c>
      <c r="S19" s="317"/>
      <c r="T19" s="204">
        <v>0</v>
      </c>
      <c r="U19" s="317"/>
      <c r="V19" s="204">
        <f>SUM(P19:T19)</f>
        <v>0</v>
      </c>
      <c r="W19" s="158"/>
      <c r="X19" s="290">
        <f>SUM(F19:T19)</f>
        <v>-1418506315</v>
      </c>
      <c r="Y19" s="317"/>
      <c r="Z19" s="312">
        <v>-22955193</v>
      </c>
      <c r="AA19" s="326"/>
      <c r="AB19" s="292">
        <f>SUM(X19:Z19)</f>
        <v>-1441461508</v>
      </c>
    </row>
    <row r="20" spans="1:29">
      <c r="A20" s="237" t="s">
        <v>238</v>
      </c>
      <c r="B20" s="237"/>
      <c r="C20" s="367"/>
      <c r="D20" s="160"/>
      <c r="E20" s="151"/>
      <c r="F20" s="308">
        <f>SUM(F17:F19)</f>
        <v>61500</v>
      </c>
      <c r="G20" s="276"/>
      <c r="H20" s="308">
        <f>SUM(H17:H19)</f>
        <v>4136079</v>
      </c>
      <c r="I20" s="277"/>
      <c r="J20" s="278">
        <f>SUM(J17:J19)</f>
        <v>-738677</v>
      </c>
      <c r="K20" s="159"/>
      <c r="L20" s="279">
        <f>SUM(L17:L19)</f>
        <v>0</v>
      </c>
      <c r="M20" s="161"/>
      <c r="N20" s="310">
        <f>SUM(N17:N19)</f>
        <v>-1418506315</v>
      </c>
      <c r="O20" s="162"/>
      <c r="P20" s="279">
        <f>SUM(P17:P19)</f>
        <v>0</v>
      </c>
      <c r="Q20" s="277"/>
      <c r="R20" s="279">
        <f>SUM(R17:R19)</f>
        <v>0</v>
      </c>
      <c r="S20" s="161"/>
      <c r="T20" s="279">
        <f>SUM(T17:T19)</f>
        <v>0</v>
      </c>
      <c r="U20" s="161"/>
      <c r="V20" s="279">
        <f>SUM(V17:V19)</f>
        <v>0</v>
      </c>
      <c r="W20" s="159"/>
      <c r="X20" s="278">
        <f>SUM(X17:X19)</f>
        <v>-1415047413</v>
      </c>
      <c r="Y20" s="161"/>
      <c r="Z20" s="278">
        <f>SUM(Z17:Z19)</f>
        <v>-22955193</v>
      </c>
      <c r="AA20" s="151"/>
      <c r="AB20" s="278">
        <f>SUM(AB17:AB19)</f>
        <v>-1438002606</v>
      </c>
    </row>
    <row r="21" spans="1:29">
      <c r="A21" s="238" t="s">
        <v>127</v>
      </c>
      <c r="B21" s="238"/>
      <c r="C21" s="367"/>
      <c r="D21" s="160"/>
      <c r="E21" s="151"/>
      <c r="F21" s="280">
        <f>F20</f>
        <v>61500</v>
      </c>
      <c r="G21" s="276"/>
      <c r="H21" s="280">
        <f>H20</f>
        <v>4136079</v>
      </c>
      <c r="I21" s="277"/>
      <c r="J21" s="278">
        <f>J20</f>
        <v>-738677</v>
      </c>
      <c r="K21" s="159"/>
      <c r="L21" s="281">
        <f>L20</f>
        <v>0</v>
      </c>
      <c r="M21" s="161"/>
      <c r="N21" s="310">
        <f>N20</f>
        <v>-1418506315</v>
      </c>
      <c r="O21" s="162"/>
      <c r="P21" s="281">
        <f>P20</f>
        <v>0</v>
      </c>
      <c r="Q21" s="277"/>
      <c r="R21" s="279">
        <f>R20</f>
        <v>0</v>
      </c>
      <c r="S21" s="161"/>
      <c r="T21" s="279">
        <f>T20</f>
        <v>0</v>
      </c>
      <c r="U21" s="161"/>
      <c r="V21" s="279">
        <f>V20</f>
        <v>0</v>
      </c>
      <c r="W21" s="159"/>
      <c r="X21" s="282">
        <f>X20</f>
        <v>-1415047413</v>
      </c>
      <c r="Y21" s="161"/>
      <c r="Z21" s="278">
        <f>Z20</f>
        <v>-22955193</v>
      </c>
      <c r="AA21" s="161"/>
      <c r="AB21" s="278">
        <f>AB20</f>
        <v>-1438002606</v>
      </c>
    </row>
    <row r="22" spans="1:29">
      <c r="A22" s="238"/>
      <c r="B22" s="238"/>
      <c r="C22" s="367"/>
      <c r="D22" s="151"/>
      <c r="E22" s="151"/>
      <c r="F22" s="151"/>
      <c r="G22" s="151"/>
      <c r="H22" s="151"/>
      <c r="I22" s="151"/>
      <c r="J22" s="151"/>
      <c r="K22" s="159"/>
      <c r="L22" s="203"/>
      <c r="M22" s="161"/>
      <c r="N22" s="151"/>
      <c r="O22" s="162"/>
      <c r="P22" s="203"/>
      <c r="Q22" s="203"/>
      <c r="R22" s="203"/>
      <c r="S22" s="161"/>
      <c r="T22" s="203"/>
      <c r="U22" s="161"/>
      <c r="V22" s="111"/>
      <c r="W22" s="159"/>
      <c r="X22" s="157"/>
      <c r="Y22" s="161"/>
      <c r="Z22" s="151"/>
      <c r="AA22" s="161"/>
      <c r="AB22" s="157"/>
    </row>
    <row r="23" spans="1:29">
      <c r="A23" s="238" t="s">
        <v>103</v>
      </c>
      <c r="B23" s="238"/>
      <c r="C23" s="362"/>
      <c r="D23" s="368"/>
      <c r="E23" s="111"/>
      <c r="F23" s="157"/>
      <c r="G23" s="111"/>
      <c r="H23" s="157"/>
      <c r="I23" s="111"/>
      <c r="J23" s="157"/>
      <c r="K23" s="158"/>
      <c r="L23" s="157"/>
      <c r="M23" s="158"/>
      <c r="N23" s="157"/>
      <c r="O23" s="111"/>
      <c r="P23" s="157"/>
      <c r="Q23" s="158"/>
      <c r="R23" s="157"/>
      <c r="S23" s="111"/>
      <c r="T23" s="157"/>
      <c r="U23" s="111"/>
      <c r="V23" s="111"/>
      <c r="W23" s="158"/>
      <c r="X23" s="157"/>
      <c r="Y23" s="111"/>
      <c r="Z23" s="157"/>
      <c r="AA23" s="111"/>
      <c r="AB23" s="157"/>
    </row>
    <row r="24" spans="1:29">
      <c r="A24" s="236" t="s">
        <v>81</v>
      </c>
      <c r="B24" s="236"/>
      <c r="C24" s="362"/>
      <c r="D24" s="203"/>
      <c r="E24" s="369"/>
      <c r="F24" s="203">
        <v>0</v>
      </c>
      <c r="G24" s="309"/>
      <c r="H24" s="203">
        <v>0</v>
      </c>
      <c r="I24" s="309"/>
      <c r="J24" s="203">
        <v>0</v>
      </c>
      <c r="K24" s="183"/>
      <c r="L24" s="203">
        <v>0</v>
      </c>
      <c r="M24" s="183"/>
      <c r="N24" s="156">
        <f>'plt 9-10'!F53</f>
        <v>1719581960</v>
      </c>
      <c r="O24" s="309"/>
      <c r="P24" s="203">
        <v>0</v>
      </c>
      <c r="Q24" s="309"/>
      <c r="R24" s="203">
        <v>0</v>
      </c>
      <c r="S24" s="309"/>
      <c r="T24" s="203">
        <v>0</v>
      </c>
      <c r="U24" s="309"/>
      <c r="V24" s="203">
        <f>SUM(P24:T24)</f>
        <v>0</v>
      </c>
      <c r="W24" s="309"/>
      <c r="X24" s="379">
        <f>SUM(F24:N24,V24)</f>
        <v>1719581960</v>
      </c>
      <c r="Y24" s="309"/>
      <c r="Z24" s="311">
        <f>'plt 9-10'!F59</f>
        <v>27891245</v>
      </c>
      <c r="AA24" s="309"/>
      <c r="AB24" s="291">
        <f>SUM(X24:Z24)</f>
        <v>1747473205</v>
      </c>
    </row>
    <row r="25" spans="1:29">
      <c r="A25" s="236" t="s">
        <v>82</v>
      </c>
      <c r="B25" s="236"/>
      <c r="C25" s="362"/>
      <c r="D25" s="203"/>
      <c r="E25" s="369"/>
      <c r="F25" s="204">
        <v>0</v>
      </c>
      <c r="G25" s="309"/>
      <c r="H25" s="204">
        <v>0</v>
      </c>
      <c r="I25" s="309"/>
      <c r="J25" s="204">
        <v>0</v>
      </c>
      <c r="K25" s="183"/>
      <c r="L25" s="204">
        <v>0</v>
      </c>
      <c r="M25" s="183"/>
      <c r="N25" s="337">
        <f>'plt 9-10'!F41</f>
        <v>0</v>
      </c>
      <c r="O25" s="309"/>
      <c r="P25" s="313">
        <v>-5494915</v>
      </c>
      <c r="Q25" s="309"/>
      <c r="R25" s="204">
        <v>0</v>
      </c>
      <c r="S25" s="309"/>
      <c r="T25" s="204">
        <v>0</v>
      </c>
      <c r="U25" s="309"/>
      <c r="V25" s="312">
        <f>SUM(P25:T25)</f>
        <v>-5494915</v>
      </c>
      <c r="W25" s="311"/>
      <c r="X25" s="379">
        <f>SUM(F25:N25,V25)</f>
        <v>-5494915</v>
      </c>
      <c r="Y25" s="315"/>
      <c r="Z25" s="204">
        <v>0</v>
      </c>
      <c r="AA25" s="315"/>
      <c r="AB25" s="292">
        <f>SUM(X25:Z25)</f>
        <v>-5494915</v>
      </c>
    </row>
    <row r="26" spans="1:29">
      <c r="A26" s="238" t="s">
        <v>104</v>
      </c>
      <c r="B26" s="238"/>
      <c r="C26" s="364"/>
      <c r="D26" s="160"/>
      <c r="E26" s="185"/>
      <c r="F26" s="281">
        <f>SUM(F24:F25)</f>
        <v>0</v>
      </c>
      <c r="G26" s="185"/>
      <c r="H26" s="281">
        <f>SUM(H24:H25)</f>
        <v>0</v>
      </c>
      <c r="I26" s="277"/>
      <c r="J26" s="281">
        <f>SUM(J24:J25)</f>
        <v>0</v>
      </c>
      <c r="K26" s="185"/>
      <c r="L26" s="281">
        <f>SUM(L24:L25)</f>
        <v>0</v>
      </c>
      <c r="M26" s="185"/>
      <c r="N26" s="280">
        <f>SUM(N24:N25)</f>
        <v>1719581960</v>
      </c>
      <c r="O26" s="185"/>
      <c r="P26" s="314">
        <f>SUM(P24:P25)</f>
        <v>-5494915</v>
      </c>
      <c r="Q26" s="185"/>
      <c r="R26" s="281">
        <f>SUM(R24:R25)</f>
        <v>0</v>
      </c>
      <c r="S26" s="184"/>
      <c r="T26" s="281">
        <f>SUM(T24:T25)</f>
        <v>0</v>
      </c>
      <c r="U26" s="185"/>
      <c r="V26" s="314">
        <f>SUM(V24:V25)</f>
        <v>-5494915</v>
      </c>
      <c r="W26" s="185"/>
      <c r="X26" s="280">
        <f>SUM(X24:X25)</f>
        <v>1714087045</v>
      </c>
      <c r="Y26" s="185"/>
      <c r="Z26" s="280">
        <f>SUM(Z24:Z25)</f>
        <v>27891245</v>
      </c>
      <c r="AA26" s="185"/>
      <c r="AB26" s="280">
        <f>SUM(AB24:AB25)</f>
        <v>1741978290</v>
      </c>
    </row>
    <row r="27" spans="1:29" ht="21.75" thickBot="1">
      <c r="A27" s="238" t="s">
        <v>210</v>
      </c>
      <c r="B27" s="238"/>
      <c r="C27" s="238"/>
      <c r="D27" s="235"/>
      <c r="E27" s="185"/>
      <c r="F27" s="283">
        <f>F14+F21+F26</f>
        <v>591044298</v>
      </c>
      <c r="G27" s="284"/>
      <c r="H27" s="283">
        <f>H14+H21+H26</f>
        <v>2160858725</v>
      </c>
      <c r="I27" s="285"/>
      <c r="J27" s="382">
        <f>J14+J21+J26</f>
        <v>0</v>
      </c>
      <c r="K27" s="285"/>
      <c r="L27" s="283">
        <f>L14+L21+L26</f>
        <v>59139680</v>
      </c>
      <c r="M27" s="285"/>
      <c r="N27" s="283">
        <f>N14+N21+N26</f>
        <v>10916658370</v>
      </c>
      <c r="O27" s="285"/>
      <c r="P27" s="283">
        <f>P14+P21+P26</f>
        <v>-2662295</v>
      </c>
      <c r="Q27" s="286"/>
      <c r="R27" s="283">
        <f>R14+R21+R26</f>
        <v>-38558460</v>
      </c>
      <c r="S27" s="286"/>
      <c r="T27" s="283">
        <f>T14+T21+T26</f>
        <v>2031481</v>
      </c>
      <c r="U27" s="286"/>
      <c r="V27" s="283">
        <f>V14+V21+V26</f>
        <v>-39189274</v>
      </c>
      <c r="W27" s="285"/>
      <c r="X27" s="283">
        <f>X14+X21+X26</f>
        <v>13688511799</v>
      </c>
      <c r="Y27" s="285"/>
      <c r="Z27" s="283">
        <f>Z14+Z21+Z26</f>
        <v>60770912</v>
      </c>
      <c r="AA27" s="285"/>
      <c r="AB27" s="283">
        <f>AB14+AB21+AB26</f>
        <v>13749282711</v>
      </c>
    </row>
    <row r="28" spans="1:29" ht="21.75" thickTop="1">
      <c r="AB28" s="340"/>
    </row>
    <row r="29" spans="1:29" ht="21.75">
      <c r="A29" s="96" t="s">
        <v>105</v>
      </c>
      <c r="B29" s="96"/>
      <c r="C29" s="356"/>
      <c r="D29" s="139"/>
      <c r="E29" s="139"/>
      <c r="F29" s="210"/>
      <c r="G29" s="139"/>
      <c r="H29" s="210"/>
      <c r="I29" s="210"/>
      <c r="J29" s="210"/>
      <c r="K29" s="210"/>
      <c r="L29" s="210"/>
      <c r="M29" s="139"/>
      <c r="N29" s="210"/>
      <c r="O29" s="210"/>
      <c r="P29" s="210"/>
      <c r="Q29" s="139"/>
      <c r="R29" s="210"/>
      <c r="S29" s="139"/>
      <c r="T29" s="210"/>
      <c r="U29" s="210"/>
      <c r="V29" s="210"/>
      <c r="W29" s="210"/>
      <c r="X29" s="210"/>
      <c r="Z29" s="211"/>
    </row>
    <row r="30" spans="1:29" ht="21.75">
      <c r="A30" s="97" t="s">
        <v>225</v>
      </c>
      <c r="B30" s="97"/>
      <c r="C30" s="357"/>
      <c r="D30" s="139"/>
      <c r="E30" s="139"/>
      <c r="F30" s="210"/>
      <c r="G30" s="139"/>
      <c r="H30" s="210"/>
      <c r="I30" s="210"/>
      <c r="J30" s="210"/>
      <c r="K30" s="210"/>
      <c r="L30" s="210"/>
      <c r="M30" s="139"/>
      <c r="N30" s="210"/>
      <c r="O30" s="210"/>
      <c r="P30" s="210"/>
      <c r="Q30" s="139"/>
      <c r="R30" s="210"/>
      <c r="S30" s="139"/>
      <c r="T30" s="210"/>
      <c r="U30" s="210"/>
      <c r="V30" s="210"/>
      <c r="W30" s="210"/>
      <c r="X30" s="210"/>
      <c r="Z30" s="211"/>
    </row>
    <row r="31" spans="1:29">
      <c r="A31" s="147"/>
      <c r="B31" s="147"/>
      <c r="C31" s="112"/>
      <c r="D31" s="358"/>
      <c r="E31" s="358"/>
      <c r="G31" s="400"/>
      <c r="H31" s="415" t="s">
        <v>0</v>
      </c>
      <c r="I31" s="415"/>
      <c r="J31" s="415"/>
      <c r="K31" s="415"/>
      <c r="L31" s="415"/>
      <c r="M31" s="415"/>
      <c r="N31" s="415"/>
      <c r="O31" s="415"/>
      <c r="P31" s="415"/>
      <c r="Q31" s="415"/>
      <c r="R31" s="415"/>
      <c r="S31" s="415"/>
      <c r="T31" s="415"/>
      <c r="U31" s="415"/>
      <c r="V31" s="415"/>
      <c r="W31" s="415"/>
      <c r="X31" s="415"/>
      <c r="Y31" s="415"/>
      <c r="Z31" s="415"/>
      <c r="AA31" s="415"/>
      <c r="AB31" s="415"/>
    </row>
    <row r="32" spans="1:29">
      <c r="A32" s="147"/>
      <c r="B32" s="147"/>
      <c r="C32" s="113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416" t="s">
        <v>53</v>
      </c>
      <c r="Q32" s="416"/>
      <c r="R32" s="416"/>
      <c r="S32" s="416"/>
      <c r="T32" s="416"/>
      <c r="U32" s="416"/>
      <c r="V32" s="416"/>
      <c r="W32" s="112"/>
      <c r="X32" s="112"/>
      <c r="Y32" s="112"/>
      <c r="Z32" s="112"/>
      <c r="AA32" s="112"/>
      <c r="AB32" s="112"/>
    </row>
    <row r="33" spans="1:28">
      <c r="A33" s="147"/>
      <c r="B33" s="147"/>
      <c r="C33" s="113"/>
      <c r="D33" s="359"/>
      <c r="E33" s="112"/>
      <c r="F33" s="147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46" t="s">
        <v>43</v>
      </c>
      <c r="S33" s="112"/>
      <c r="T33" s="112"/>
      <c r="U33" s="112"/>
      <c r="V33" s="112"/>
      <c r="W33" s="112"/>
      <c r="X33" s="112"/>
      <c r="Y33" s="112"/>
      <c r="Z33" s="112"/>
      <c r="AA33" s="112"/>
      <c r="AB33" s="112"/>
    </row>
    <row r="34" spans="1:28">
      <c r="A34" s="147"/>
      <c r="B34" s="147"/>
      <c r="C34" s="113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47"/>
      <c r="Q34" s="147"/>
      <c r="R34" s="146" t="s">
        <v>44</v>
      </c>
      <c r="S34" s="112"/>
      <c r="T34" s="112"/>
      <c r="U34" s="112"/>
      <c r="V34" s="112"/>
      <c r="W34" s="112"/>
      <c r="X34" s="112"/>
      <c r="Y34" s="112"/>
      <c r="Z34" s="112"/>
      <c r="AA34" s="147"/>
      <c r="AB34" s="147"/>
    </row>
    <row r="35" spans="1:28">
      <c r="A35" s="147"/>
      <c r="B35" s="147"/>
      <c r="C35" s="113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47"/>
      <c r="R35" s="146" t="s">
        <v>55</v>
      </c>
      <c r="S35" s="112"/>
      <c r="T35" s="147"/>
      <c r="U35" s="112"/>
      <c r="V35" s="147"/>
      <c r="W35" s="147"/>
      <c r="X35" s="112"/>
      <c r="Y35" s="112"/>
      <c r="Z35" s="147"/>
      <c r="AA35" s="112"/>
      <c r="AB35" s="112"/>
    </row>
    <row r="36" spans="1:28">
      <c r="A36" s="147"/>
      <c r="B36" s="147"/>
      <c r="C36" s="113"/>
      <c r="D36" s="112"/>
      <c r="E36" s="112"/>
      <c r="F36" s="112"/>
      <c r="G36" s="112"/>
      <c r="H36" s="112"/>
      <c r="I36" s="112"/>
      <c r="J36" s="112"/>
      <c r="K36" s="112"/>
      <c r="L36" s="417" t="s">
        <v>27</v>
      </c>
      <c r="M36" s="417"/>
      <c r="N36" s="417"/>
      <c r="O36" s="112"/>
      <c r="P36" s="112"/>
      <c r="Q36" s="147"/>
      <c r="R36" s="146" t="s">
        <v>56</v>
      </c>
      <c r="S36" s="112"/>
      <c r="T36" s="113"/>
      <c r="U36" s="112"/>
      <c r="V36" s="113"/>
      <c r="W36" s="147"/>
      <c r="X36" s="112"/>
      <c r="Y36" s="112"/>
      <c r="Z36" s="148" t="s">
        <v>139</v>
      </c>
      <c r="AA36" s="112"/>
      <c r="AB36" s="112"/>
    </row>
    <row r="37" spans="1:28">
      <c r="A37" s="147"/>
      <c r="B37" s="147"/>
      <c r="C37" s="113"/>
      <c r="D37" s="112"/>
      <c r="E37" s="112"/>
      <c r="F37" s="112"/>
      <c r="G37" s="112"/>
      <c r="H37" s="112"/>
      <c r="I37" s="112"/>
      <c r="J37" s="360"/>
      <c r="K37" s="112"/>
      <c r="L37" s="418"/>
      <c r="M37" s="418"/>
      <c r="N37" s="147"/>
      <c r="O37" s="112"/>
      <c r="P37" s="148"/>
      <c r="Q37" s="147"/>
      <c r="R37" s="148" t="s">
        <v>58</v>
      </c>
      <c r="S37" s="112"/>
      <c r="T37" s="113" t="s">
        <v>121</v>
      </c>
      <c r="U37" s="112"/>
      <c r="V37" s="113" t="s">
        <v>18</v>
      </c>
      <c r="W37" s="147"/>
      <c r="Y37" s="112"/>
      <c r="Z37" s="148" t="s">
        <v>57</v>
      </c>
      <c r="AA37" s="112"/>
      <c r="AB37" s="112"/>
    </row>
    <row r="38" spans="1:28">
      <c r="A38" s="113"/>
      <c r="B38" s="113"/>
      <c r="C38" s="113"/>
      <c r="D38" s="148"/>
      <c r="E38" s="112"/>
      <c r="F38" s="148"/>
      <c r="G38" s="112"/>
      <c r="H38" s="148" t="s">
        <v>212</v>
      </c>
      <c r="I38" s="112"/>
      <c r="J38" s="148" t="s">
        <v>15</v>
      </c>
      <c r="K38" s="113"/>
      <c r="L38" s="148" t="s">
        <v>136</v>
      </c>
      <c r="M38" s="146"/>
      <c r="N38" s="148" t="s">
        <v>61</v>
      </c>
      <c r="O38" s="148"/>
      <c r="P38" s="113" t="s">
        <v>137</v>
      </c>
      <c r="Q38" s="113"/>
      <c r="R38" s="113" t="s">
        <v>31</v>
      </c>
      <c r="S38" s="148"/>
      <c r="T38" s="113" t="s">
        <v>122</v>
      </c>
      <c r="U38" s="148"/>
      <c r="V38" s="113" t="s">
        <v>62</v>
      </c>
      <c r="W38" s="113"/>
      <c r="X38" s="148" t="s">
        <v>59</v>
      </c>
      <c r="Y38" s="148"/>
      <c r="Z38" s="148" t="s">
        <v>60</v>
      </c>
      <c r="AA38" s="148"/>
      <c r="AB38" s="108" t="s">
        <v>40</v>
      </c>
    </row>
    <row r="39" spans="1:28">
      <c r="A39" s="238"/>
      <c r="B39" s="238"/>
      <c r="C39" s="362" t="s">
        <v>1</v>
      </c>
      <c r="D39" s="148"/>
      <c r="E39" s="112"/>
      <c r="F39" s="148"/>
      <c r="G39" s="112"/>
      <c r="H39" s="148" t="s">
        <v>16</v>
      </c>
      <c r="I39" s="112"/>
      <c r="J39" s="148" t="s">
        <v>17</v>
      </c>
      <c r="K39" s="112"/>
      <c r="L39" s="148" t="s">
        <v>64</v>
      </c>
      <c r="M39" s="149"/>
      <c r="N39" s="148" t="s">
        <v>65</v>
      </c>
      <c r="O39" s="149"/>
      <c r="P39" s="148" t="s">
        <v>66</v>
      </c>
      <c r="Q39" s="112"/>
      <c r="R39" s="148" t="s">
        <v>67</v>
      </c>
      <c r="S39" s="149"/>
      <c r="T39" s="148" t="s">
        <v>123</v>
      </c>
      <c r="U39" s="149"/>
      <c r="V39" s="148" t="s">
        <v>68</v>
      </c>
      <c r="W39" s="112"/>
      <c r="X39" s="148" t="s">
        <v>138</v>
      </c>
      <c r="Y39" s="149"/>
      <c r="Z39" s="148" t="s">
        <v>63</v>
      </c>
      <c r="AA39" s="149"/>
      <c r="AB39" s="109" t="s">
        <v>69</v>
      </c>
    </row>
    <row r="40" spans="1:28" ht="21.6" customHeight="1">
      <c r="A40" s="113"/>
      <c r="B40" s="113"/>
      <c r="C40" s="362"/>
      <c r="D40" s="150"/>
      <c r="E40" s="150"/>
      <c r="F40" s="140"/>
      <c r="G40" s="401"/>
      <c r="H40" s="414" t="s">
        <v>100</v>
      </c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414"/>
      <c r="Z40" s="414"/>
      <c r="AA40" s="414"/>
      <c r="AB40" s="414"/>
    </row>
    <row r="41" spans="1:28">
      <c r="A41" s="238" t="s">
        <v>222</v>
      </c>
      <c r="B41" s="238"/>
      <c r="C41" s="362"/>
      <c r="D41" s="150"/>
      <c r="E41" s="150"/>
      <c r="F41" s="389"/>
      <c r="G41" s="150"/>
      <c r="H41" s="389"/>
      <c r="I41" s="389"/>
      <c r="J41" s="389"/>
      <c r="K41" s="150"/>
      <c r="L41" s="150"/>
      <c r="M41" s="150"/>
      <c r="N41" s="150"/>
      <c r="O41" s="150"/>
      <c r="P41" s="363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</row>
    <row r="42" spans="1:28">
      <c r="A42" s="238" t="s">
        <v>223</v>
      </c>
      <c r="B42" s="238"/>
      <c r="C42" s="364"/>
      <c r="D42" s="151"/>
      <c r="E42" s="151"/>
      <c r="F42" s="151"/>
      <c r="G42" s="151"/>
      <c r="H42" s="151">
        <f>F27</f>
        <v>591044298</v>
      </c>
      <c r="I42" s="151"/>
      <c r="J42" s="151">
        <f>H27</f>
        <v>2160858725</v>
      </c>
      <c r="K42" s="151"/>
      <c r="L42" s="151">
        <f>L27</f>
        <v>59139680</v>
      </c>
      <c r="M42" s="151"/>
      <c r="N42" s="151">
        <f>N27</f>
        <v>10916658370</v>
      </c>
      <c r="O42" s="151"/>
      <c r="P42" s="151">
        <f>P27</f>
        <v>-2662295</v>
      </c>
      <c r="Q42" s="151"/>
      <c r="R42" s="151">
        <f>R27</f>
        <v>-38558460</v>
      </c>
      <c r="S42" s="151"/>
      <c r="T42" s="151">
        <f>T27</f>
        <v>2031481</v>
      </c>
      <c r="U42" s="151"/>
      <c r="V42" s="151">
        <f>V27</f>
        <v>-39189274</v>
      </c>
      <c r="W42" s="151"/>
      <c r="X42" s="151">
        <f>X27</f>
        <v>13688511799</v>
      </c>
      <c r="Y42" s="151"/>
      <c r="Z42" s="151">
        <f>Z27</f>
        <v>60770912</v>
      </c>
      <c r="AA42" s="151"/>
      <c r="AB42" s="285">
        <f>SUM(X42:Z42)</f>
        <v>13749282711</v>
      </c>
    </row>
    <row r="43" spans="1:28">
      <c r="A43" s="238" t="s">
        <v>162</v>
      </c>
      <c r="B43" s="238"/>
      <c r="C43" s="113"/>
      <c r="D43" s="156"/>
      <c r="E43" s="156"/>
      <c r="F43" s="156"/>
      <c r="G43" s="156"/>
      <c r="H43" s="153"/>
      <c r="I43" s="156"/>
      <c r="J43" s="153"/>
      <c r="K43" s="153"/>
      <c r="L43" s="153"/>
      <c r="M43" s="153"/>
      <c r="N43" s="153"/>
      <c r="O43" s="156"/>
      <c r="P43" s="153"/>
      <c r="Q43" s="154"/>
      <c r="R43" s="153"/>
      <c r="S43" s="156"/>
      <c r="T43" s="154"/>
      <c r="U43" s="156"/>
      <c r="V43" s="154"/>
      <c r="W43" s="154"/>
      <c r="X43" s="153"/>
      <c r="Y43" s="153"/>
      <c r="Z43" s="153"/>
      <c r="AA43" s="155"/>
      <c r="AB43" s="155"/>
    </row>
    <row r="44" spans="1:28">
      <c r="A44" s="237" t="s">
        <v>239</v>
      </c>
      <c r="B44" s="365"/>
      <c r="C44" s="366"/>
      <c r="D44" s="156"/>
      <c r="E44" s="155"/>
      <c r="F44" s="156"/>
      <c r="G44" s="155"/>
      <c r="H44" s="156"/>
      <c r="I44" s="155"/>
      <c r="J44" s="156"/>
      <c r="K44" s="155"/>
      <c r="L44" s="156"/>
      <c r="M44" s="155"/>
      <c r="N44" s="156"/>
      <c r="O44" s="155"/>
      <c r="P44" s="156"/>
      <c r="Q44" s="155"/>
      <c r="R44" s="153"/>
      <c r="S44" s="155"/>
      <c r="T44" s="155"/>
      <c r="U44" s="155"/>
      <c r="V44" s="155"/>
      <c r="W44" s="155"/>
      <c r="X44" s="153"/>
      <c r="Y44" s="155"/>
      <c r="Z44" s="156"/>
      <c r="AA44" s="155"/>
      <c r="AB44" s="155"/>
    </row>
    <row r="45" spans="1:28" hidden="1">
      <c r="A45" s="236" t="s">
        <v>180</v>
      </c>
      <c r="B45" s="365"/>
      <c r="C45" s="366" t="s">
        <v>215</v>
      </c>
      <c r="D45" s="156"/>
      <c r="E45" s="155"/>
      <c r="F45" s="203"/>
      <c r="G45" s="307"/>
      <c r="H45" s="203">
        <v>0</v>
      </c>
      <c r="I45" s="307"/>
      <c r="J45" s="203">
        <v>0</v>
      </c>
      <c r="K45" s="154"/>
      <c r="L45" s="203">
        <v>0</v>
      </c>
      <c r="M45" s="154"/>
      <c r="N45" s="203">
        <v>0</v>
      </c>
      <c r="O45" s="154"/>
      <c r="P45" s="203">
        <v>0</v>
      </c>
      <c r="Q45" s="154"/>
      <c r="R45" s="203">
        <v>0</v>
      </c>
      <c r="S45" s="154"/>
      <c r="T45" s="203">
        <v>0</v>
      </c>
      <c r="U45" s="154"/>
      <c r="V45" s="191">
        <f>SUM(P45:T45)</f>
        <v>0</v>
      </c>
      <c r="W45" s="154"/>
      <c r="X45" s="347">
        <f>SUM(F45:N45,V45)</f>
        <v>0</v>
      </c>
      <c r="Y45" s="154"/>
      <c r="Z45" s="203"/>
      <c r="AA45" s="154"/>
      <c r="AB45" s="344">
        <f>SUM(X45:Z45)</f>
        <v>0</v>
      </c>
    </row>
    <row r="46" spans="1:28" hidden="1">
      <c r="A46" s="236" t="s">
        <v>181</v>
      </c>
      <c r="B46" s="365"/>
      <c r="C46" s="366">
        <v>18</v>
      </c>
      <c r="D46" s="156"/>
      <c r="E46" s="155"/>
      <c r="F46" s="203"/>
      <c r="G46" s="307"/>
      <c r="H46" s="203">
        <v>0</v>
      </c>
      <c r="I46" s="307"/>
      <c r="J46" s="203">
        <v>0</v>
      </c>
      <c r="K46" s="154"/>
      <c r="L46" s="203">
        <v>0</v>
      </c>
      <c r="M46" s="154"/>
      <c r="N46" s="203">
        <v>0</v>
      </c>
      <c r="O46" s="154"/>
      <c r="P46" s="203">
        <v>0</v>
      </c>
      <c r="Q46" s="154"/>
      <c r="R46" s="203">
        <v>0</v>
      </c>
      <c r="S46" s="154"/>
      <c r="T46" s="203">
        <v>0</v>
      </c>
      <c r="U46" s="154"/>
      <c r="V46" s="191">
        <f>SUM(P46:T46)</f>
        <v>0</v>
      </c>
      <c r="W46" s="154"/>
      <c r="X46" s="347">
        <f>SUM(F46:N46,V46)</f>
        <v>0</v>
      </c>
      <c r="Y46" s="154"/>
      <c r="Z46" s="203"/>
      <c r="AA46" s="154"/>
      <c r="AB46" s="344">
        <f>SUM(X46:Z46)</f>
        <v>0</v>
      </c>
    </row>
    <row r="47" spans="1:28">
      <c r="A47" s="236" t="s">
        <v>97</v>
      </c>
      <c r="B47" s="236"/>
      <c r="C47" s="366">
        <v>22</v>
      </c>
      <c r="D47" s="203"/>
      <c r="E47" s="203"/>
      <c r="F47" s="203"/>
      <c r="G47" s="203"/>
      <c r="H47" s="204">
        <v>0</v>
      </c>
      <c r="I47" s="203"/>
      <c r="J47" s="204">
        <v>0</v>
      </c>
      <c r="K47" s="158"/>
      <c r="L47" s="204">
        <v>0</v>
      </c>
      <c r="M47" s="317"/>
      <c r="N47" s="270">
        <f>'CF 15-16'!H84</f>
        <v>-1536715175</v>
      </c>
      <c r="O47" s="318"/>
      <c r="P47" s="204">
        <v>0</v>
      </c>
      <c r="Q47" s="158"/>
      <c r="R47" s="204">
        <v>0</v>
      </c>
      <c r="S47" s="317"/>
      <c r="T47" s="204">
        <v>0</v>
      </c>
      <c r="U47" s="317"/>
      <c r="V47" s="343">
        <f>SUM(P47:T47)</f>
        <v>0</v>
      </c>
      <c r="W47" s="158"/>
      <c r="X47" s="347">
        <f>SUM(F47:N47,V47)</f>
        <v>-1536715175</v>
      </c>
      <c r="Y47" s="317"/>
      <c r="Z47" s="312">
        <f>'CF 15-16'!D84-'CF 15-16'!H84</f>
        <v>-28624445</v>
      </c>
      <c r="AA47" s="326"/>
      <c r="AB47" s="312">
        <f>SUM(X47:Z47)</f>
        <v>-1565339620</v>
      </c>
    </row>
    <row r="48" spans="1:28">
      <c r="A48" s="237" t="s">
        <v>240</v>
      </c>
      <c r="B48" s="237"/>
      <c r="C48" s="367"/>
      <c r="D48" s="160"/>
      <c r="E48" s="151"/>
      <c r="F48" s="402"/>
      <c r="G48" s="276"/>
      <c r="H48" s="308">
        <f>SUM(H45:H47)</f>
        <v>0</v>
      </c>
      <c r="I48" s="276"/>
      <c r="J48" s="308">
        <f>SUM(J45:J47)</f>
        <v>0</v>
      </c>
      <c r="K48" s="159"/>
      <c r="L48" s="279">
        <f>SUM(L45:L47)</f>
        <v>0</v>
      </c>
      <c r="M48" s="161"/>
      <c r="N48" s="310">
        <f>SUM(N45:N47)</f>
        <v>-1536715175</v>
      </c>
      <c r="O48" s="162"/>
      <c r="P48" s="279">
        <f>SUM(P45:P47)</f>
        <v>0</v>
      </c>
      <c r="Q48" s="277"/>
      <c r="R48" s="279">
        <f>SUM(R45:R47)</f>
        <v>0</v>
      </c>
      <c r="S48" s="161"/>
      <c r="T48" s="279">
        <f>SUM(T45:T47)</f>
        <v>0</v>
      </c>
      <c r="U48" s="161"/>
      <c r="V48" s="279">
        <f>SUM(V45:V47)</f>
        <v>0</v>
      </c>
      <c r="W48" s="159"/>
      <c r="X48" s="278">
        <f>SUM(X45:X47)</f>
        <v>-1536715175</v>
      </c>
      <c r="Y48" s="161"/>
      <c r="Z48" s="278">
        <f>SUM(Z45:Z47)</f>
        <v>-28624445</v>
      </c>
      <c r="AA48" s="151"/>
      <c r="AB48" s="278">
        <f>SUM(AB45:AB47)</f>
        <v>-1565339620</v>
      </c>
    </row>
    <row r="49" spans="1:28">
      <c r="A49" s="238" t="s">
        <v>127</v>
      </c>
      <c r="B49" s="238"/>
      <c r="C49" s="367"/>
      <c r="D49" s="160"/>
      <c r="E49" s="151"/>
      <c r="F49" s="402"/>
      <c r="G49" s="276"/>
      <c r="H49" s="280">
        <f>H48</f>
        <v>0</v>
      </c>
      <c r="I49" s="276"/>
      <c r="J49" s="280">
        <f>J48</f>
        <v>0</v>
      </c>
      <c r="K49" s="159"/>
      <c r="L49" s="281">
        <f>L48</f>
        <v>0</v>
      </c>
      <c r="M49" s="161"/>
      <c r="N49" s="310">
        <f>N48</f>
        <v>-1536715175</v>
      </c>
      <c r="O49" s="162"/>
      <c r="P49" s="281">
        <f>P48</f>
        <v>0</v>
      </c>
      <c r="Q49" s="277"/>
      <c r="R49" s="279">
        <f>R48</f>
        <v>0</v>
      </c>
      <c r="S49" s="161"/>
      <c r="T49" s="279">
        <f>T48</f>
        <v>0</v>
      </c>
      <c r="U49" s="161"/>
      <c r="V49" s="279">
        <f>V48</f>
        <v>0</v>
      </c>
      <c r="W49" s="159"/>
      <c r="X49" s="282">
        <f>X48</f>
        <v>-1536715175</v>
      </c>
      <c r="Y49" s="161"/>
      <c r="Z49" s="278">
        <f>Z48</f>
        <v>-28624445</v>
      </c>
      <c r="AA49" s="161"/>
      <c r="AB49" s="278">
        <f>AB48</f>
        <v>-1565339620</v>
      </c>
    </row>
    <row r="50" spans="1:28">
      <c r="A50" s="238"/>
      <c r="B50" s="238"/>
      <c r="C50" s="367"/>
      <c r="D50" s="151"/>
      <c r="E50" s="151"/>
      <c r="F50" s="151"/>
      <c r="G50" s="151"/>
      <c r="H50" s="151"/>
      <c r="I50" s="151"/>
      <c r="J50" s="151"/>
      <c r="K50" s="159"/>
      <c r="L50" s="203"/>
      <c r="M50" s="161"/>
      <c r="N50" s="151"/>
      <c r="O50" s="162"/>
      <c r="P50" s="203"/>
      <c r="Q50" s="203"/>
      <c r="R50" s="203"/>
      <c r="S50" s="161"/>
      <c r="T50" s="203"/>
      <c r="U50" s="161"/>
      <c r="V50" s="111"/>
      <c r="W50" s="159"/>
      <c r="X50" s="157"/>
      <c r="Y50" s="161"/>
      <c r="Z50" s="151"/>
      <c r="AA50" s="161"/>
      <c r="AB50" s="157"/>
    </row>
    <row r="51" spans="1:28">
      <c r="A51" s="238" t="s">
        <v>103</v>
      </c>
      <c r="B51" s="238"/>
      <c r="C51" s="362"/>
      <c r="D51" s="368"/>
      <c r="E51" s="111"/>
      <c r="F51" s="368"/>
      <c r="G51" s="111"/>
      <c r="H51" s="157"/>
      <c r="I51" s="111"/>
      <c r="J51" s="157"/>
      <c r="K51" s="158"/>
      <c r="L51" s="157"/>
      <c r="M51" s="158"/>
      <c r="N51" s="157"/>
      <c r="O51" s="111"/>
      <c r="P51" s="157"/>
      <c r="Q51" s="158"/>
      <c r="R51" s="157"/>
      <c r="S51" s="111"/>
      <c r="T51" s="157"/>
      <c r="U51" s="111"/>
      <c r="V51" s="111"/>
      <c r="W51" s="158"/>
      <c r="X51" s="157"/>
      <c r="Y51" s="111"/>
      <c r="Z51" s="157"/>
      <c r="AA51" s="111"/>
      <c r="AB51" s="157"/>
    </row>
    <row r="52" spans="1:28">
      <c r="A52" s="236" t="s">
        <v>81</v>
      </c>
      <c r="B52" s="236"/>
      <c r="C52" s="362"/>
      <c r="D52" s="203"/>
      <c r="E52" s="369"/>
      <c r="F52" s="203"/>
      <c r="G52" s="309"/>
      <c r="H52" s="203">
        <v>0</v>
      </c>
      <c r="I52" s="309"/>
      <c r="J52" s="203">
        <v>0</v>
      </c>
      <c r="K52" s="183"/>
      <c r="L52" s="203">
        <v>0</v>
      </c>
      <c r="M52" s="183"/>
      <c r="N52" s="346">
        <f>'plt 9-10'!D53</f>
        <v>1648459038</v>
      </c>
      <c r="O52" s="309"/>
      <c r="P52" s="203">
        <v>0</v>
      </c>
      <c r="Q52" s="309"/>
      <c r="R52" s="203">
        <v>0</v>
      </c>
      <c r="S52" s="309"/>
      <c r="T52" s="203">
        <v>0</v>
      </c>
      <c r="U52" s="309"/>
      <c r="V52" s="191">
        <f>SUM(P52:T52)</f>
        <v>0</v>
      </c>
      <c r="W52" s="309"/>
      <c r="X52" s="347">
        <f>SUM(F52:N52,V52)</f>
        <v>1648459038</v>
      </c>
      <c r="Y52" s="309"/>
      <c r="Z52" s="386">
        <f>'plt 9-10'!D54</f>
        <v>29944623</v>
      </c>
      <c r="AA52" s="309"/>
      <c r="AB52" s="344">
        <f>SUM(X52:Z52)</f>
        <v>1678403661</v>
      </c>
    </row>
    <row r="53" spans="1:28">
      <c r="A53" s="236" t="s">
        <v>82</v>
      </c>
      <c r="B53" s="236"/>
      <c r="C53" s="362"/>
      <c r="D53" s="203"/>
      <c r="E53" s="369"/>
      <c r="F53" s="203"/>
      <c r="G53" s="309"/>
      <c r="H53" s="204">
        <v>0</v>
      </c>
      <c r="I53" s="309"/>
      <c r="J53" s="204">
        <v>0</v>
      </c>
      <c r="K53" s="183"/>
      <c r="L53" s="204">
        <v>0</v>
      </c>
      <c r="M53" s="183"/>
      <c r="N53" s="313">
        <f>'plt 9-10'!D41</f>
        <v>-13899651</v>
      </c>
      <c r="O53" s="309"/>
      <c r="P53" s="313">
        <f>'plt 9-10'!D31</f>
        <v>-30387767</v>
      </c>
      <c r="Q53" s="309"/>
      <c r="R53" s="204">
        <v>0</v>
      </c>
      <c r="S53" s="309"/>
      <c r="T53" s="204">
        <v>0</v>
      </c>
      <c r="U53" s="309"/>
      <c r="V53" s="313">
        <f>SUM(P53:T53)</f>
        <v>-30387767</v>
      </c>
      <c r="W53" s="311"/>
      <c r="X53" s="383">
        <f>SUM(F53:N53,V53)</f>
        <v>-44287418</v>
      </c>
      <c r="Y53" s="315"/>
      <c r="Z53" s="204">
        <v>0</v>
      </c>
      <c r="AA53" s="315"/>
      <c r="AB53" s="347">
        <f>SUM(X53:Z53)</f>
        <v>-44287418</v>
      </c>
    </row>
    <row r="54" spans="1:28">
      <c r="A54" s="238" t="s">
        <v>104</v>
      </c>
      <c r="B54" s="238"/>
      <c r="C54" s="364"/>
      <c r="D54" s="160"/>
      <c r="E54" s="185"/>
      <c r="F54" s="277"/>
      <c r="G54" s="185"/>
      <c r="H54" s="281">
        <f>SUM(H52:H53)</f>
        <v>0</v>
      </c>
      <c r="I54" s="185"/>
      <c r="J54" s="281">
        <f>SUM(J52:J53)</f>
        <v>0</v>
      </c>
      <c r="K54" s="185"/>
      <c r="L54" s="281">
        <f>SUM(L52:L53)</f>
        <v>0</v>
      </c>
      <c r="M54" s="185"/>
      <c r="N54" s="280">
        <f>SUM(N52:N53)</f>
        <v>1634559387</v>
      </c>
      <c r="O54" s="185"/>
      <c r="P54" s="314">
        <f>SUM(P52:P53)</f>
        <v>-30387767</v>
      </c>
      <c r="Q54" s="185"/>
      <c r="R54" s="281">
        <f>SUM(R52:R53)</f>
        <v>0</v>
      </c>
      <c r="S54" s="184"/>
      <c r="T54" s="281">
        <f>SUM(T52:T53)</f>
        <v>0</v>
      </c>
      <c r="U54" s="185"/>
      <c r="V54" s="314">
        <f>SUM(V52:V53)</f>
        <v>-30387767</v>
      </c>
      <c r="W54" s="185"/>
      <c r="X54" s="383">
        <f>SUM(X52:X53)</f>
        <v>1604171620</v>
      </c>
      <c r="Y54" s="185"/>
      <c r="Z54" s="280">
        <f>SUM(Z52:Z53)</f>
        <v>29944623</v>
      </c>
      <c r="AA54" s="185"/>
      <c r="AB54" s="280">
        <f>SUM(AB52:AB53)</f>
        <v>1634116243</v>
      </c>
    </row>
    <row r="55" spans="1:28" ht="21.75" thickBot="1">
      <c r="A55" s="238" t="s">
        <v>224</v>
      </c>
      <c r="B55" s="238"/>
      <c r="C55" s="238"/>
      <c r="D55" s="235"/>
      <c r="E55" s="185"/>
      <c r="F55" s="285"/>
      <c r="G55" s="284"/>
      <c r="H55" s="283">
        <f>H42+H49+H54</f>
        <v>591044298</v>
      </c>
      <c r="I55" s="284"/>
      <c r="J55" s="283">
        <f>J42+J49+J54</f>
        <v>2160858725</v>
      </c>
      <c r="K55" s="285"/>
      <c r="L55" s="283">
        <f>L42+L49+L54</f>
        <v>59139680</v>
      </c>
      <c r="M55" s="285"/>
      <c r="N55" s="283">
        <f>N42+N49+N54</f>
        <v>11014502582</v>
      </c>
      <c r="O55" s="285"/>
      <c r="P55" s="283">
        <f>P42+P49+P54</f>
        <v>-33050062</v>
      </c>
      <c r="Q55" s="286"/>
      <c r="R55" s="283">
        <f>R42+R49+R54</f>
        <v>-38558460</v>
      </c>
      <c r="S55" s="286"/>
      <c r="T55" s="283">
        <f>T42+T49+T54</f>
        <v>2031481</v>
      </c>
      <c r="U55" s="286"/>
      <c r="V55" s="283">
        <f>V42+V49+V54</f>
        <v>-69577041</v>
      </c>
      <c r="W55" s="285"/>
      <c r="X55" s="283">
        <f>X42+X49+X54</f>
        <v>13755968244</v>
      </c>
      <c r="Y55" s="285"/>
      <c r="Z55" s="283">
        <f>Z42+Z49+Z54</f>
        <v>62091090</v>
      </c>
      <c r="AA55" s="285"/>
      <c r="AB55" s="283">
        <f>AB42+AB49+AB54</f>
        <v>13818059334</v>
      </c>
    </row>
    <row r="56" spans="1:28" s="333" customFormat="1" ht="21.75" thickTop="1">
      <c r="E56" s="391"/>
      <c r="F56" s="391"/>
      <c r="G56" s="391"/>
      <c r="M56" s="391"/>
      <c r="Q56" s="391"/>
      <c r="S56" s="391"/>
    </row>
    <row r="57" spans="1:28">
      <c r="F57" s="140"/>
    </row>
  </sheetData>
  <mergeCells count="10">
    <mergeCell ref="P32:V32"/>
    <mergeCell ref="L36:N36"/>
    <mergeCell ref="L37:M37"/>
    <mergeCell ref="H40:AB40"/>
    <mergeCell ref="H31:AB31"/>
    <mergeCell ref="F12:AB12"/>
    <mergeCell ref="F3:AB3"/>
    <mergeCell ref="P4:V4"/>
    <mergeCell ref="L8:N8"/>
    <mergeCell ref="L9:M9"/>
  </mergeCells>
  <phoneticPr fontId="0" type="noConversion"/>
  <printOptions horizontalCentered="1"/>
  <pageMargins left="0.8" right="0.8" top="0.48" bottom="0.5" header="0.4" footer="0.5"/>
  <pageSetup paperSize="9" scale="59" firstPageNumber="11" fitToHeight="0" orientation="landscape" useFirstPageNumber="1" r:id="rId1"/>
  <headerFooter>
    <oddHeader>&amp;C</oddHeader>
    <oddFooter xml:space="preserve">&amp;L&amp;"Angsana New,Regular"&amp;15หมายเหตุประกอบงบการเงินเป็นส่วนหนึ่งของงบการเงินนี้&amp;C&amp;"Angsana New,Regular"&amp;15&amp;P&amp;R&amp;"Angsana New,Italic"&amp;15 </oddFooter>
  </headerFooter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3"/>
  <sheetViews>
    <sheetView showGridLines="0" zoomScale="70" zoomScaleNormal="70" zoomScaleSheetLayoutView="100" workbookViewId="0">
      <selection activeCell="D53" sqref="D53"/>
    </sheetView>
  </sheetViews>
  <sheetFormatPr defaultColWidth="10.7109375" defaultRowHeight="21"/>
  <cols>
    <col min="1" max="1" width="54.85546875" style="88" bestFit="1" customWidth="1"/>
    <col min="2" max="2" width="12.140625" style="88" customWidth="1"/>
    <col min="3" max="3" width="10.140625" style="88" customWidth="1"/>
    <col min="4" max="4" width="1.140625" style="88" customWidth="1"/>
    <col min="5" max="5" width="12.85546875" style="90" customWidth="1"/>
    <col min="6" max="6" width="1" style="90" customWidth="1"/>
    <col min="7" max="7" width="15.42578125" style="90" bestFit="1" customWidth="1"/>
    <col min="8" max="8" width="1" style="90" customWidth="1"/>
    <col min="9" max="9" width="13.7109375" style="90" bestFit="1" customWidth="1"/>
    <col min="10" max="10" width="1" style="90" customWidth="1"/>
    <col min="11" max="11" width="12.85546875" style="90" customWidth="1"/>
    <col min="12" max="12" width="1" style="90" customWidth="1"/>
    <col min="13" max="13" width="15" style="138" bestFit="1" customWidth="1"/>
    <col min="14" max="14" width="1" style="138" customWidth="1"/>
    <col min="15" max="15" width="15.140625" style="138" customWidth="1"/>
    <col min="16" max="16" width="1" style="138" customWidth="1"/>
    <col min="17" max="17" width="15.140625" style="138" customWidth="1"/>
    <col min="18" max="18" width="1" style="88" customWidth="1"/>
    <col min="19" max="19" width="14" style="88" customWidth="1"/>
    <col min="20" max="20" width="1.42578125" style="88" customWidth="1"/>
    <col min="21" max="21" width="12.7109375" style="88" customWidth="1"/>
    <col min="22" max="16384" width="10.7109375" style="88"/>
  </cols>
  <sheetData>
    <row r="1" spans="1:17" ht="21.75">
      <c r="A1" s="96" t="s">
        <v>105</v>
      </c>
      <c r="B1" s="96"/>
      <c r="C1" s="87"/>
      <c r="D1" s="87"/>
      <c r="E1" s="87"/>
      <c r="F1" s="87"/>
      <c r="G1" s="87"/>
      <c r="H1" s="87"/>
      <c r="I1" s="87"/>
      <c r="J1" s="87"/>
      <c r="K1" s="87"/>
      <c r="L1" s="137"/>
      <c r="M1" s="137"/>
      <c r="N1" s="137"/>
      <c r="O1" s="137"/>
      <c r="P1" s="137"/>
      <c r="Q1" s="88"/>
    </row>
    <row r="2" spans="1:17" ht="21.75">
      <c r="A2" s="97" t="s">
        <v>225</v>
      </c>
      <c r="B2" s="97"/>
      <c r="C2" s="87"/>
      <c r="D2" s="87"/>
      <c r="E2" s="87"/>
      <c r="F2" s="87"/>
      <c r="G2" s="87"/>
      <c r="H2" s="87"/>
      <c r="I2" s="87"/>
      <c r="J2" s="87"/>
      <c r="K2" s="87"/>
      <c r="L2" s="137"/>
      <c r="M2" s="137"/>
      <c r="N2" s="137"/>
      <c r="O2" s="137"/>
      <c r="P2" s="137"/>
      <c r="Q2" s="88"/>
    </row>
    <row r="3" spans="1:17">
      <c r="C3" s="233"/>
      <c r="D3" s="233"/>
      <c r="E3" s="420" t="s">
        <v>32</v>
      </c>
      <c r="F3" s="420"/>
      <c r="G3" s="420"/>
      <c r="H3" s="420"/>
      <c r="I3" s="420"/>
      <c r="J3" s="420"/>
      <c r="K3" s="420"/>
      <c r="L3" s="420"/>
      <c r="M3" s="420"/>
      <c r="N3" s="420"/>
      <c r="O3" s="420"/>
      <c r="P3" s="420"/>
      <c r="Q3" s="420"/>
    </row>
    <row r="4" spans="1:17"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91" t="s">
        <v>169</v>
      </c>
      <c r="P4" s="233"/>
      <c r="Q4" s="233"/>
    </row>
    <row r="5" spans="1:17">
      <c r="C5" s="91"/>
      <c r="D5" s="91"/>
      <c r="E5" s="88"/>
      <c r="F5" s="91"/>
      <c r="G5" s="91"/>
      <c r="H5" s="91"/>
      <c r="I5" s="88"/>
      <c r="J5" s="91"/>
      <c r="K5" s="419" t="s">
        <v>27</v>
      </c>
      <c r="L5" s="419"/>
      <c r="M5" s="419"/>
      <c r="N5" s="91"/>
      <c r="O5" s="234" t="s">
        <v>8</v>
      </c>
      <c r="P5" s="139"/>
      <c r="Q5" s="139"/>
    </row>
    <row r="6" spans="1:17">
      <c r="C6" s="91"/>
      <c r="D6" s="91"/>
      <c r="E6" s="107"/>
      <c r="F6" s="91"/>
      <c r="G6" s="91"/>
      <c r="H6" s="91"/>
      <c r="I6" s="67" t="s">
        <v>182</v>
      </c>
      <c r="J6" s="91"/>
      <c r="K6" s="91"/>
      <c r="L6" s="91"/>
      <c r="M6" s="91"/>
      <c r="N6" s="139"/>
      <c r="O6" s="139" t="s">
        <v>121</v>
      </c>
      <c r="P6" s="139"/>
      <c r="Q6" s="139"/>
    </row>
    <row r="7" spans="1:17">
      <c r="A7" s="89"/>
      <c r="B7" s="89"/>
      <c r="C7" s="91"/>
      <c r="D7" s="91"/>
      <c r="E7" s="91" t="s">
        <v>212</v>
      </c>
      <c r="F7" s="91"/>
      <c r="G7" s="91" t="s">
        <v>15</v>
      </c>
      <c r="H7" s="91"/>
      <c r="I7" s="239" t="s">
        <v>183</v>
      </c>
      <c r="J7" s="92"/>
      <c r="K7" s="91" t="s">
        <v>136</v>
      </c>
      <c r="L7" s="91"/>
      <c r="M7" s="140"/>
      <c r="N7" s="139"/>
      <c r="O7" s="139" t="s">
        <v>122</v>
      </c>
      <c r="P7" s="139"/>
      <c r="Q7" s="408" t="s">
        <v>40</v>
      </c>
    </row>
    <row r="8" spans="1:17">
      <c r="A8" s="89"/>
      <c r="B8" s="89"/>
      <c r="C8" s="93" t="s">
        <v>1</v>
      </c>
      <c r="D8" s="91"/>
      <c r="E8" s="91" t="s">
        <v>16</v>
      </c>
      <c r="F8" s="91"/>
      <c r="G8" s="91" t="s">
        <v>17</v>
      </c>
      <c r="H8" s="91"/>
      <c r="I8" s="239" t="s">
        <v>184</v>
      </c>
      <c r="J8" s="91"/>
      <c r="K8" s="91" t="s">
        <v>64</v>
      </c>
      <c r="L8" s="94"/>
      <c r="M8" s="139" t="s">
        <v>21</v>
      </c>
      <c r="N8" s="141"/>
      <c r="O8" s="139" t="s">
        <v>123</v>
      </c>
      <c r="P8" s="141"/>
      <c r="Q8" s="409" t="s">
        <v>69</v>
      </c>
    </row>
    <row r="9" spans="1:17">
      <c r="A9" s="89"/>
      <c r="B9" s="89"/>
      <c r="C9" s="93"/>
      <c r="D9" s="231"/>
      <c r="E9" s="421" t="s">
        <v>100</v>
      </c>
      <c r="F9" s="421"/>
      <c r="G9" s="421"/>
      <c r="H9" s="421"/>
      <c r="I9" s="421"/>
      <c r="J9" s="421"/>
      <c r="K9" s="421"/>
      <c r="L9" s="421"/>
      <c r="M9" s="421"/>
      <c r="N9" s="421"/>
      <c r="O9" s="421"/>
      <c r="P9" s="421"/>
      <c r="Q9" s="421"/>
    </row>
    <row r="10" spans="1:17">
      <c r="A10" s="69" t="s">
        <v>208</v>
      </c>
      <c r="B10" s="69"/>
      <c r="C10" s="93"/>
      <c r="D10" s="104"/>
      <c r="E10" s="104"/>
      <c r="F10" s="104"/>
      <c r="G10" s="104"/>
      <c r="H10" s="104"/>
      <c r="I10" s="104"/>
      <c r="J10" s="104"/>
      <c r="K10" s="104"/>
      <c r="L10" s="104"/>
      <c r="M10" s="142"/>
      <c r="N10" s="142"/>
      <c r="O10" s="142"/>
      <c r="P10" s="142"/>
      <c r="Q10" s="142"/>
    </row>
    <row r="11" spans="1:17">
      <c r="A11" s="136" t="s">
        <v>209</v>
      </c>
      <c r="B11" s="136"/>
      <c r="C11" s="95"/>
      <c r="D11" s="90"/>
      <c r="E11" s="232">
        <v>590982798</v>
      </c>
      <c r="F11" s="319"/>
      <c r="G11" s="232">
        <v>2156722646</v>
      </c>
      <c r="H11" s="319"/>
      <c r="I11" s="348">
        <v>738677</v>
      </c>
      <c r="J11" s="319"/>
      <c r="K11" s="232">
        <v>59139680</v>
      </c>
      <c r="L11" s="232"/>
      <c r="M11" s="232">
        <v>7270273419</v>
      </c>
      <c r="N11" s="232"/>
      <c r="O11" s="232">
        <v>1000658</v>
      </c>
      <c r="P11" s="232"/>
      <c r="Q11" s="232">
        <f>SUM(E11:O11)</f>
        <v>10078857878</v>
      </c>
    </row>
    <row r="12" spans="1:17">
      <c r="A12" s="69" t="s">
        <v>162</v>
      </c>
      <c r="B12" s="69"/>
      <c r="C12" s="67"/>
      <c r="D12" s="186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</row>
    <row r="13" spans="1:17">
      <c r="A13" s="74" t="s">
        <v>196</v>
      </c>
      <c r="B13" s="74"/>
      <c r="C13" s="71"/>
      <c r="D13" s="186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</row>
    <row r="14" spans="1:17">
      <c r="A14" s="72" t="s">
        <v>185</v>
      </c>
      <c r="B14" s="72"/>
      <c r="C14" s="110">
        <v>18</v>
      </c>
      <c r="D14" s="186"/>
      <c r="E14" s="187">
        <v>61500</v>
      </c>
      <c r="F14" s="187"/>
      <c r="G14" s="187">
        <v>3355440</v>
      </c>
      <c r="H14" s="187"/>
      <c r="I14" s="187">
        <v>-159900</v>
      </c>
      <c r="J14" s="187"/>
      <c r="K14" s="190">
        <v>0</v>
      </c>
      <c r="L14" s="187"/>
      <c r="M14" s="190">
        <v>0</v>
      </c>
      <c r="N14" s="187"/>
      <c r="O14" s="190">
        <v>0</v>
      </c>
      <c r="P14" s="187"/>
      <c r="Q14" s="304">
        <f>SUM(E14:O14)</f>
        <v>3257040</v>
      </c>
    </row>
    <row r="15" spans="1:17">
      <c r="A15" s="72" t="s">
        <v>186</v>
      </c>
      <c r="B15" s="72"/>
      <c r="C15" s="110"/>
      <c r="D15" s="186"/>
      <c r="E15" s="304">
        <v>0</v>
      </c>
      <c r="F15" s="320"/>
      <c r="G15" s="304">
        <v>780639</v>
      </c>
      <c r="H15" s="305"/>
      <c r="I15" s="187">
        <v>-578777</v>
      </c>
      <c r="J15" s="305"/>
      <c r="K15" s="304">
        <v>0</v>
      </c>
      <c r="L15" s="305"/>
      <c r="M15" s="304">
        <v>0</v>
      </c>
      <c r="N15" s="305"/>
      <c r="O15" s="304">
        <v>0</v>
      </c>
      <c r="P15" s="305"/>
      <c r="Q15" s="304">
        <f>SUM(E15:O15)</f>
        <v>201862</v>
      </c>
    </row>
    <row r="16" spans="1:17">
      <c r="A16" s="72" t="s">
        <v>189</v>
      </c>
      <c r="B16" s="72"/>
      <c r="C16" s="110">
        <v>22</v>
      </c>
      <c r="D16" s="90"/>
      <c r="E16" s="205">
        <v>0</v>
      </c>
      <c r="F16" s="321"/>
      <c r="G16" s="205">
        <v>0</v>
      </c>
      <c r="H16" s="321"/>
      <c r="I16" s="205">
        <v>0</v>
      </c>
      <c r="J16" s="187"/>
      <c r="K16" s="205">
        <v>0</v>
      </c>
      <c r="L16" s="322"/>
      <c r="M16" s="206">
        <v>-1418506315</v>
      </c>
      <c r="N16" s="188"/>
      <c r="O16" s="205">
        <v>0</v>
      </c>
      <c r="P16" s="188"/>
      <c r="Q16" s="336">
        <f>SUM(E16:O16)</f>
        <v>-1418506315</v>
      </c>
    </row>
    <row r="17" spans="1:17">
      <c r="A17" s="73" t="s">
        <v>197</v>
      </c>
      <c r="B17" s="73"/>
      <c r="C17" s="100"/>
      <c r="D17" s="100"/>
      <c r="E17" s="293">
        <f>SUM(E14:E16)</f>
        <v>61500</v>
      </c>
      <c r="F17" s="294"/>
      <c r="G17" s="293">
        <f>SUM(G14:G16)</f>
        <v>4136079</v>
      </c>
      <c r="H17" s="294"/>
      <c r="I17" s="406">
        <f>SUM(I14:I16)</f>
        <v>-738677</v>
      </c>
      <c r="J17" s="294"/>
      <c r="K17" s="207">
        <f>SUM(K14:K16)</f>
        <v>0</v>
      </c>
      <c r="L17" s="294"/>
      <c r="M17" s="295">
        <f>SUM(M14:M16)</f>
        <v>-1418506315</v>
      </c>
      <c r="N17" s="297"/>
      <c r="O17" s="207">
        <f>SUM(O14:O16)</f>
        <v>0</v>
      </c>
      <c r="P17" s="294"/>
      <c r="Q17" s="295">
        <f>SUM(E17:O17)</f>
        <v>-1415047413</v>
      </c>
    </row>
    <row r="18" spans="1:17">
      <c r="A18" s="73" t="s">
        <v>127</v>
      </c>
      <c r="B18" s="73"/>
      <c r="C18" s="100"/>
      <c r="D18" s="100"/>
      <c r="E18" s="293">
        <f>E17</f>
        <v>61500</v>
      </c>
      <c r="F18" s="294"/>
      <c r="G18" s="293">
        <f>G17</f>
        <v>4136079</v>
      </c>
      <c r="H18" s="294"/>
      <c r="I18" s="406">
        <f>I17</f>
        <v>-738677</v>
      </c>
      <c r="J18" s="294"/>
      <c r="K18" s="207">
        <f>K17</f>
        <v>0</v>
      </c>
      <c r="L18" s="294"/>
      <c r="M18" s="295">
        <f>M17</f>
        <v>-1418506315</v>
      </c>
      <c r="N18" s="297"/>
      <c r="O18" s="207">
        <f>O17</f>
        <v>0</v>
      </c>
      <c r="P18" s="294"/>
      <c r="Q18" s="298">
        <f>SUM(E18:O18)</f>
        <v>-1415047413</v>
      </c>
    </row>
    <row r="19" spans="1:17">
      <c r="A19" s="69"/>
      <c r="B19" s="69"/>
      <c r="C19" s="68"/>
      <c r="D19" s="90"/>
      <c r="E19" s="138"/>
      <c r="F19" s="138"/>
      <c r="G19" s="138"/>
      <c r="H19" s="138"/>
      <c r="I19" s="138"/>
      <c r="J19" s="138"/>
      <c r="K19" s="138"/>
      <c r="L19" s="138"/>
    </row>
    <row r="20" spans="1:17">
      <c r="A20" s="69" t="s">
        <v>103</v>
      </c>
      <c r="B20" s="69"/>
      <c r="C20" s="70"/>
      <c r="D20" s="90"/>
      <c r="E20" s="138"/>
      <c r="F20" s="138"/>
      <c r="G20" s="138"/>
      <c r="H20" s="138"/>
      <c r="I20" s="138"/>
      <c r="J20" s="138"/>
      <c r="K20" s="138"/>
      <c r="L20" s="138"/>
    </row>
    <row r="21" spans="1:17" hidden="1">
      <c r="A21" s="72" t="s">
        <v>81</v>
      </c>
      <c r="B21" s="72"/>
      <c r="C21" s="90"/>
      <c r="D21" s="90"/>
      <c r="E21" s="190">
        <v>0</v>
      </c>
      <c r="F21" s="189"/>
      <c r="G21" s="190">
        <v>0</v>
      </c>
      <c r="H21" s="189"/>
      <c r="I21" s="190">
        <v>0</v>
      </c>
      <c r="J21" s="189"/>
      <c r="K21" s="190">
        <v>0</v>
      </c>
      <c r="L21" s="323"/>
      <c r="M21" s="190">
        <v>0</v>
      </c>
      <c r="N21" s="143"/>
      <c r="O21" s="190">
        <v>0</v>
      </c>
      <c r="P21" s="143"/>
      <c r="Q21" s="304">
        <v>0</v>
      </c>
    </row>
    <row r="22" spans="1:17">
      <c r="A22" s="72" t="s">
        <v>81</v>
      </c>
      <c r="B22" s="72"/>
      <c r="C22" s="90"/>
      <c r="D22" s="90"/>
      <c r="E22" s="190">
        <v>0</v>
      </c>
      <c r="F22" s="191"/>
      <c r="G22" s="190">
        <v>0</v>
      </c>
      <c r="H22" s="191"/>
      <c r="I22" s="190">
        <v>0</v>
      </c>
      <c r="J22" s="191"/>
      <c r="K22" s="190">
        <v>0</v>
      </c>
      <c r="L22" s="323"/>
      <c r="M22" s="304">
        <f>'plt 9-10'!J53</f>
        <v>2140279439</v>
      </c>
      <c r="N22" s="144"/>
      <c r="O22" s="190">
        <v>0</v>
      </c>
      <c r="P22" s="144"/>
      <c r="Q22" s="304">
        <f>SUM(E22:O22)</f>
        <v>2140279439</v>
      </c>
    </row>
    <row r="23" spans="1:17" hidden="1">
      <c r="A23" s="72" t="s">
        <v>82</v>
      </c>
      <c r="B23" s="72"/>
      <c r="C23" s="90"/>
      <c r="D23" s="90"/>
      <c r="E23" s="205">
        <v>0</v>
      </c>
      <c r="F23" s="191"/>
      <c r="G23" s="205">
        <v>0</v>
      </c>
      <c r="H23" s="191"/>
      <c r="I23" s="205">
        <v>0</v>
      </c>
      <c r="J23" s="189"/>
      <c r="K23" s="205">
        <v>0</v>
      </c>
      <c r="L23" s="323"/>
      <c r="M23" s="325">
        <f>'plt 9-10'!J41</f>
        <v>0</v>
      </c>
      <c r="N23" s="144"/>
      <c r="O23" s="205">
        <v>0</v>
      </c>
      <c r="P23" s="144"/>
      <c r="Q23" s="304">
        <f>SUM(E23:O23)</f>
        <v>0</v>
      </c>
    </row>
    <row r="24" spans="1:17">
      <c r="A24" s="69" t="s">
        <v>104</v>
      </c>
      <c r="B24" s="69"/>
      <c r="C24" s="90"/>
      <c r="D24" s="90"/>
      <c r="E24" s="380">
        <f>SUM(E22:E22)</f>
        <v>0</v>
      </c>
      <c r="F24" s="300"/>
      <c r="G24" s="380">
        <f>SUM(G22:G22)</f>
        <v>0</v>
      </c>
      <c r="H24" s="300"/>
      <c r="I24" s="380">
        <f>SUM(I22:I22)</f>
        <v>0</v>
      </c>
      <c r="J24" s="300"/>
      <c r="K24" s="380">
        <f>SUM(K22:K22)</f>
        <v>0</v>
      </c>
      <c r="L24" s="300"/>
      <c r="M24" s="328">
        <f>SUM(M22:M23)</f>
        <v>2140279439</v>
      </c>
      <c r="N24" s="300"/>
      <c r="O24" s="380">
        <f>SUM(O22:O22)</f>
        <v>0</v>
      </c>
      <c r="P24" s="299"/>
      <c r="Q24" s="296">
        <f>SUM(Q22:Q23)</f>
        <v>2140279439</v>
      </c>
    </row>
    <row r="25" spans="1:17">
      <c r="A25" s="72" t="s">
        <v>11</v>
      </c>
      <c r="B25" s="72"/>
      <c r="C25" s="90"/>
      <c r="D25" s="90"/>
      <c r="E25" s="301"/>
      <c r="F25" s="300"/>
      <c r="G25" s="301"/>
      <c r="H25" s="300"/>
      <c r="I25" s="301"/>
      <c r="J25" s="300"/>
      <c r="K25" s="301"/>
      <c r="L25" s="300"/>
      <c r="M25" s="302"/>
      <c r="N25" s="300"/>
      <c r="O25" s="297"/>
      <c r="P25" s="299"/>
      <c r="Q25" s="302"/>
    </row>
    <row r="26" spans="1:17" ht="21.75" thickBot="1">
      <c r="A26" s="69" t="s">
        <v>210</v>
      </c>
      <c r="B26" s="69"/>
      <c r="C26" s="90"/>
      <c r="D26" s="90"/>
      <c r="E26" s="303">
        <f>E11+E18+E24</f>
        <v>591044298</v>
      </c>
      <c r="F26" s="294"/>
      <c r="G26" s="303">
        <f>G11+G18+G24</f>
        <v>2160858725</v>
      </c>
      <c r="H26" s="294"/>
      <c r="I26" s="407">
        <f>I11+I18+I24</f>
        <v>0</v>
      </c>
      <c r="J26" s="294"/>
      <c r="K26" s="303">
        <f>K11+K18+K24</f>
        <v>59139680</v>
      </c>
      <c r="L26" s="294"/>
      <c r="M26" s="303">
        <f>M11+M18+M24</f>
        <v>7992046543</v>
      </c>
      <c r="N26" s="294"/>
      <c r="O26" s="303">
        <f>O11+O18+O24</f>
        <v>1000658</v>
      </c>
      <c r="P26" s="299"/>
      <c r="Q26" s="303">
        <f>Q11+Q18+Q24</f>
        <v>10804089904</v>
      </c>
    </row>
    <row r="27" spans="1:17" ht="21.75" thickTop="1">
      <c r="C27" s="90"/>
      <c r="D27" s="90"/>
      <c r="K27" s="138"/>
      <c r="L27" s="138"/>
      <c r="P27" s="88"/>
      <c r="Q27" s="88"/>
    </row>
    <row r="28" spans="1:17" ht="21.75">
      <c r="A28" s="96" t="s">
        <v>105</v>
      </c>
      <c r="B28" s="96"/>
      <c r="C28" s="87"/>
      <c r="D28" s="87"/>
      <c r="E28" s="87"/>
      <c r="F28" s="87"/>
      <c r="G28" s="87"/>
      <c r="H28" s="87"/>
      <c r="I28" s="87"/>
      <c r="J28" s="87"/>
      <c r="K28" s="87"/>
      <c r="L28" s="137"/>
      <c r="M28" s="137"/>
      <c r="N28" s="137"/>
      <c r="O28" s="137"/>
      <c r="P28" s="137"/>
      <c r="Q28" s="88"/>
    </row>
    <row r="29" spans="1:17" ht="21.75">
      <c r="A29" s="97" t="s">
        <v>225</v>
      </c>
      <c r="B29" s="97"/>
      <c r="C29" s="87"/>
      <c r="D29" s="87"/>
      <c r="E29" s="87"/>
      <c r="F29" s="87"/>
      <c r="G29" s="87"/>
      <c r="H29" s="87"/>
      <c r="I29" s="87"/>
      <c r="J29" s="87"/>
      <c r="K29" s="87"/>
      <c r="L29" s="137"/>
      <c r="M29" s="137"/>
      <c r="N29" s="137"/>
      <c r="O29" s="137"/>
      <c r="P29" s="137"/>
      <c r="Q29" s="88"/>
    </row>
    <row r="30" spans="1:17">
      <c r="C30" s="330"/>
      <c r="D30" s="330"/>
      <c r="F30" s="393"/>
      <c r="G30" s="420" t="s">
        <v>32</v>
      </c>
      <c r="H30" s="420"/>
      <c r="I30" s="420"/>
      <c r="J30" s="420"/>
      <c r="K30" s="420"/>
      <c r="L30" s="420"/>
      <c r="M30" s="420"/>
      <c r="N30" s="420"/>
      <c r="O30" s="420"/>
      <c r="P30" s="420"/>
      <c r="Q30" s="420"/>
    </row>
    <row r="31" spans="1:17">
      <c r="C31" s="330"/>
      <c r="D31" s="330"/>
      <c r="E31" s="330"/>
      <c r="F31" s="330"/>
      <c r="G31" s="330"/>
      <c r="H31" s="330"/>
      <c r="I31" s="330"/>
      <c r="J31" s="330"/>
      <c r="K31" s="330"/>
      <c r="L31" s="330"/>
      <c r="M31" s="330"/>
      <c r="N31" s="330"/>
      <c r="O31" s="91" t="s">
        <v>169</v>
      </c>
      <c r="P31" s="330"/>
      <c r="Q31" s="330"/>
    </row>
    <row r="32" spans="1:17">
      <c r="C32" s="91"/>
      <c r="D32" s="91"/>
      <c r="E32" s="88"/>
      <c r="F32" s="91"/>
      <c r="G32" s="91"/>
      <c r="H32" s="91"/>
      <c r="I32" s="88"/>
      <c r="J32" s="91"/>
      <c r="K32" s="419" t="s">
        <v>27</v>
      </c>
      <c r="L32" s="419"/>
      <c r="M32" s="419"/>
      <c r="N32" s="91"/>
      <c r="O32" s="331" t="s">
        <v>8</v>
      </c>
      <c r="P32" s="139"/>
      <c r="Q32" s="139"/>
    </row>
    <row r="33" spans="1:17">
      <c r="C33" s="91"/>
      <c r="D33" s="91"/>
      <c r="E33" s="88"/>
      <c r="F33" s="91"/>
      <c r="G33" s="91"/>
      <c r="H33" s="91"/>
      <c r="I33" s="67"/>
      <c r="J33" s="91"/>
      <c r="K33" s="91"/>
      <c r="L33" s="91"/>
      <c r="M33" s="91"/>
      <c r="N33" s="139"/>
      <c r="O33" s="139" t="s">
        <v>121</v>
      </c>
      <c r="P33" s="139"/>
      <c r="Q33" s="139"/>
    </row>
    <row r="34" spans="1:17">
      <c r="A34" s="89"/>
      <c r="B34" s="89"/>
      <c r="C34" s="91"/>
      <c r="D34" s="91"/>
      <c r="E34" s="91"/>
      <c r="F34" s="91"/>
      <c r="G34" s="91" t="s">
        <v>212</v>
      </c>
      <c r="H34" s="91"/>
      <c r="I34" s="91" t="s">
        <v>15</v>
      </c>
      <c r="J34" s="92"/>
      <c r="K34" s="91" t="s">
        <v>136</v>
      </c>
      <c r="L34" s="91"/>
      <c r="M34" s="140"/>
      <c r="N34" s="139"/>
      <c r="O34" s="139" t="s">
        <v>122</v>
      </c>
      <c r="P34" s="139"/>
      <c r="Q34" s="408" t="s">
        <v>40</v>
      </c>
    </row>
    <row r="35" spans="1:17">
      <c r="A35" s="89"/>
      <c r="B35" s="89"/>
      <c r="C35" s="93" t="s">
        <v>1</v>
      </c>
      <c r="D35" s="91"/>
      <c r="E35" s="91"/>
      <c r="F35" s="91"/>
      <c r="G35" s="91" t="s">
        <v>16</v>
      </c>
      <c r="H35" s="91"/>
      <c r="I35" s="91" t="s">
        <v>17</v>
      </c>
      <c r="J35" s="91"/>
      <c r="K35" s="91" t="s">
        <v>64</v>
      </c>
      <c r="L35" s="94"/>
      <c r="M35" s="139" t="s">
        <v>21</v>
      </c>
      <c r="N35" s="141"/>
      <c r="O35" s="139" t="s">
        <v>123</v>
      </c>
      <c r="P35" s="141"/>
      <c r="Q35" s="409" t="s">
        <v>69</v>
      </c>
    </row>
    <row r="36" spans="1:17" ht="21.6" customHeight="1">
      <c r="A36" s="89"/>
      <c r="B36" s="89"/>
      <c r="C36" s="93"/>
      <c r="D36" s="231"/>
      <c r="E36" s="394"/>
      <c r="F36" s="231"/>
      <c r="G36" s="421" t="s">
        <v>100</v>
      </c>
      <c r="H36" s="421"/>
      <c r="I36" s="421"/>
      <c r="J36" s="421"/>
      <c r="K36" s="421"/>
      <c r="L36" s="421"/>
      <c r="M36" s="421"/>
      <c r="N36" s="421"/>
      <c r="O36" s="421"/>
      <c r="P36" s="421"/>
      <c r="Q36" s="421"/>
    </row>
    <row r="37" spans="1:17">
      <c r="A37" s="69" t="s">
        <v>222</v>
      </c>
      <c r="B37" s="69"/>
      <c r="C37" s="93"/>
      <c r="D37" s="329"/>
      <c r="E37" s="390"/>
      <c r="F37" s="329"/>
      <c r="G37" s="390"/>
      <c r="H37" s="390"/>
      <c r="I37" s="390"/>
      <c r="J37" s="329"/>
      <c r="K37" s="329"/>
      <c r="L37" s="329"/>
      <c r="M37" s="142"/>
      <c r="N37" s="142"/>
      <c r="O37" s="142"/>
      <c r="P37" s="142"/>
      <c r="Q37" s="142"/>
    </row>
    <row r="38" spans="1:17">
      <c r="A38" s="136" t="s">
        <v>223</v>
      </c>
      <c r="B38" s="136"/>
      <c r="C38" s="95"/>
      <c r="D38" s="90"/>
      <c r="E38" s="232"/>
      <c r="F38" s="319"/>
      <c r="G38" s="232">
        <f>E26</f>
        <v>591044298</v>
      </c>
      <c r="H38" s="319"/>
      <c r="I38" s="232">
        <f>G26</f>
        <v>2160858725</v>
      </c>
      <c r="J38" s="319"/>
      <c r="K38" s="232">
        <f>K26</f>
        <v>59139680</v>
      </c>
      <c r="L38" s="232"/>
      <c r="M38" s="232">
        <f>M26</f>
        <v>7992046543</v>
      </c>
      <c r="N38" s="232"/>
      <c r="O38" s="232">
        <f>O26</f>
        <v>1000658</v>
      </c>
      <c r="P38" s="232"/>
      <c r="Q38" s="232">
        <f>SUM(E38:O38)</f>
        <v>10804089904</v>
      </c>
    </row>
    <row r="39" spans="1:17">
      <c r="A39" s="69" t="s">
        <v>162</v>
      </c>
      <c r="B39" s="69"/>
      <c r="C39" s="67"/>
      <c r="D39" s="186"/>
      <c r="E39" s="395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</row>
    <row r="40" spans="1:17">
      <c r="A40" s="74" t="s">
        <v>228</v>
      </c>
      <c r="B40" s="74"/>
      <c r="C40" s="71"/>
      <c r="D40" s="186"/>
      <c r="E40" s="395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</row>
    <row r="41" spans="1:17" hidden="1">
      <c r="A41" s="72" t="s">
        <v>185</v>
      </c>
      <c r="B41" s="72"/>
      <c r="C41" s="110" t="s">
        <v>215</v>
      </c>
      <c r="D41" s="186"/>
      <c r="E41" s="396"/>
      <c r="F41" s="187"/>
      <c r="G41" s="340">
        <v>0</v>
      </c>
      <c r="H41" s="187"/>
      <c r="I41" s="340">
        <v>0</v>
      </c>
      <c r="J41" s="187"/>
      <c r="K41" s="340">
        <v>0</v>
      </c>
      <c r="L41" s="187"/>
      <c r="M41" s="340">
        <v>0</v>
      </c>
      <c r="N41" s="187"/>
      <c r="O41" s="340">
        <v>0</v>
      </c>
      <c r="P41" s="187"/>
      <c r="Q41" s="381">
        <f>SUM(E41:O41)</f>
        <v>0</v>
      </c>
    </row>
    <row r="42" spans="1:17" hidden="1">
      <c r="A42" s="72" t="s">
        <v>186</v>
      </c>
      <c r="B42" s="72"/>
      <c r="C42" s="110">
        <v>18</v>
      </c>
      <c r="D42" s="186"/>
      <c r="E42" s="391"/>
      <c r="F42" s="333"/>
      <c r="G42" s="333">
        <v>0</v>
      </c>
      <c r="H42" s="333"/>
      <c r="I42" s="333">
        <v>0</v>
      </c>
      <c r="J42" s="305"/>
      <c r="K42" s="333">
        <v>0</v>
      </c>
      <c r="L42" s="305"/>
      <c r="M42" s="333">
        <v>0</v>
      </c>
      <c r="N42" s="305"/>
      <c r="O42" s="333">
        <v>0</v>
      </c>
      <c r="P42" s="305"/>
      <c r="Q42" s="381">
        <f>SUM(E42:O42)</f>
        <v>0</v>
      </c>
    </row>
    <row r="43" spans="1:17">
      <c r="A43" s="72" t="s">
        <v>189</v>
      </c>
      <c r="B43" s="72"/>
      <c r="C43" s="110">
        <v>22</v>
      </c>
      <c r="D43" s="90"/>
      <c r="E43" s="391"/>
      <c r="F43" s="333"/>
      <c r="G43" s="339">
        <v>0</v>
      </c>
      <c r="H43" s="333"/>
      <c r="I43" s="339">
        <v>0</v>
      </c>
      <c r="J43" s="187"/>
      <c r="K43" s="339">
        <v>0</v>
      </c>
      <c r="L43" s="322"/>
      <c r="M43" s="206">
        <f>'CF 15-16'!H84</f>
        <v>-1536715175</v>
      </c>
      <c r="N43" s="188"/>
      <c r="O43" s="339">
        <v>0</v>
      </c>
      <c r="P43" s="188"/>
      <c r="Q43" s="378">
        <f>SUM(E43:O43)</f>
        <v>-1536715175</v>
      </c>
    </row>
    <row r="44" spans="1:17">
      <c r="A44" s="73" t="s">
        <v>229</v>
      </c>
      <c r="B44" s="73"/>
      <c r="C44" s="100"/>
      <c r="D44" s="100"/>
      <c r="E44" s="232"/>
      <c r="F44" s="294"/>
      <c r="G44" s="341">
        <f>SUM(G41:G43)</f>
        <v>0</v>
      </c>
      <c r="H44" s="294"/>
      <c r="I44" s="349">
        <f>SUM(I41:I43)</f>
        <v>0</v>
      </c>
      <c r="J44" s="294"/>
      <c r="K44" s="207">
        <f>SUM(K41:K43)</f>
        <v>0</v>
      </c>
      <c r="L44" s="294"/>
      <c r="M44" s="375">
        <f>SUM(M41:M43)</f>
        <v>-1536715175</v>
      </c>
      <c r="N44" s="297"/>
      <c r="O44" s="207">
        <f>SUM(O41:O43)</f>
        <v>0</v>
      </c>
      <c r="P44" s="294"/>
      <c r="Q44" s="375">
        <f>SUM(Q41:Q43)</f>
        <v>-1536715175</v>
      </c>
    </row>
    <row r="45" spans="1:17">
      <c r="A45" s="73" t="s">
        <v>127</v>
      </c>
      <c r="B45" s="73"/>
      <c r="C45" s="100"/>
      <c r="D45" s="100"/>
      <c r="E45" s="232"/>
      <c r="F45" s="294"/>
      <c r="G45" s="341">
        <f>SUM(G44:H44)</f>
        <v>0</v>
      </c>
      <c r="H45" s="294"/>
      <c r="I45" s="349">
        <f>SUM(I44:J44)</f>
        <v>0</v>
      </c>
      <c r="J45" s="294"/>
      <c r="K45" s="207">
        <f>SUM(K44:L44)</f>
        <v>0</v>
      </c>
      <c r="L45" s="294"/>
      <c r="M45" s="375">
        <f>SUM(M44:N44)</f>
        <v>-1536715175</v>
      </c>
      <c r="N45" s="297"/>
      <c r="O45" s="207">
        <f>SUM(O44:P44)</f>
        <v>0</v>
      </c>
      <c r="P45" s="294"/>
      <c r="Q45" s="375">
        <f>SUM(Q44:R44)</f>
        <v>-1536715175</v>
      </c>
    </row>
    <row r="46" spans="1:17">
      <c r="A46" s="69"/>
      <c r="B46" s="69"/>
      <c r="C46" s="68"/>
      <c r="D46" s="90"/>
      <c r="E46" s="140"/>
      <c r="F46" s="138"/>
      <c r="G46" s="138"/>
      <c r="H46" s="138"/>
      <c r="I46" s="138"/>
      <c r="J46" s="138"/>
      <c r="K46" s="138"/>
      <c r="L46" s="138"/>
    </row>
    <row r="47" spans="1:17">
      <c r="A47" s="69" t="s">
        <v>103</v>
      </c>
      <c r="B47" s="69"/>
      <c r="C47" s="70"/>
      <c r="D47" s="90"/>
      <c r="E47" s="140"/>
      <c r="F47" s="138"/>
      <c r="G47" s="138"/>
      <c r="H47" s="138"/>
      <c r="I47" s="138"/>
      <c r="J47" s="138"/>
      <c r="K47" s="138"/>
      <c r="L47" s="138"/>
    </row>
    <row r="48" spans="1:17">
      <c r="A48" s="72" t="s">
        <v>81</v>
      </c>
      <c r="B48" s="72"/>
      <c r="C48" s="90"/>
      <c r="D48" s="90"/>
      <c r="E48" s="391"/>
      <c r="F48" s="191"/>
      <c r="G48" s="391">
        <v>0</v>
      </c>
      <c r="H48" s="191"/>
      <c r="I48" s="190">
        <v>0</v>
      </c>
      <c r="J48" s="191"/>
      <c r="K48" s="190">
        <v>0</v>
      </c>
      <c r="L48" s="323"/>
      <c r="M48" s="304">
        <f>'plt 9-10'!H27</f>
        <v>1765541886</v>
      </c>
      <c r="N48" s="144"/>
      <c r="O48" s="190">
        <v>0</v>
      </c>
      <c r="P48" s="144"/>
      <c r="Q48" s="377">
        <f>SUM(E48:O48)</f>
        <v>1765541886</v>
      </c>
    </row>
    <row r="49" spans="1:17">
      <c r="A49" s="72" t="s">
        <v>82</v>
      </c>
      <c r="B49" s="72"/>
      <c r="C49" s="90"/>
      <c r="D49" s="90"/>
      <c r="E49" s="391"/>
      <c r="F49" s="191"/>
      <c r="G49" s="339">
        <v>0</v>
      </c>
      <c r="H49" s="191"/>
      <c r="I49" s="205">
        <v>0</v>
      </c>
      <c r="J49" s="189"/>
      <c r="K49" s="205">
        <v>0</v>
      </c>
      <c r="L49" s="323"/>
      <c r="M49" s="206">
        <f>'plt 9-10'!H42</f>
        <v>-6160767</v>
      </c>
      <c r="N49" s="144"/>
      <c r="O49" s="205">
        <v>0</v>
      </c>
      <c r="P49" s="144"/>
      <c r="Q49" s="399">
        <f>SUM(E49:O49)</f>
        <v>-6160767</v>
      </c>
    </row>
    <row r="50" spans="1:17">
      <c r="A50" s="69" t="s">
        <v>104</v>
      </c>
      <c r="B50" s="69"/>
      <c r="C50" s="90"/>
      <c r="D50" s="90"/>
      <c r="E50" s="397"/>
      <c r="F50" s="300"/>
      <c r="G50" s="207">
        <f>SUM(G48:G49)</f>
        <v>0</v>
      </c>
      <c r="H50" s="300"/>
      <c r="I50" s="207">
        <f>SUM(I48:I49)</f>
        <v>0</v>
      </c>
      <c r="J50" s="300"/>
      <c r="K50" s="207">
        <f>SUM(K48:K49)</f>
        <v>0</v>
      </c>
      <c r="L50" s="300"/>
      <c r="M50" s="328">
        <f>SUM(M48:M49)</f>
        <v>1759381119</v>
      </c>
      <c r="N50" s="300"/>
      <c r="O50" s="207">
        <f>SUM(O48:O49)</f>
        <v>0</v>
      </c>
      <c r="P50" s="299"/>
      <c r="Q50" s="296">
        <f>SUM(Q48:Q49)</f>
        <v>1759381119</v>
      </c>
    </row>
    <row r="51" spans="1:17">
      <c r="A51" s="72" t="s">
        <v>11</v>
      </c>
      <c r="B51" s="72"/>
      <c r="C51" s="90"/>
      <c r="D51" s="90"/>
      <c r="E51" s="301"/>
      <c r="F51" s="300"/>
      <c r="G51" s="301"/>
      <c r="H51" s="300"/>
      <c r="I51" s="301"/>
      <c r="J51" s="300"/>
      <c r="K51" s="301"/>
      <c r="L51" s="300"/>
      <c r="M51" s="302"/>
      <c r="N51" s="300"/>
      <c r="O51" s="297"/>
      <c r="P51" s="299"/>
      <c r="Q51" s="302"/>
    </row>
    <row r="52" spans="1:17" ht="21.75" thickBot="1">
      <c r="A52" s="69" t="s">
        <v>224</v>
      </c>
      <c r="B52" s="69"/>
      <c r="C52" s="90"/>
      <c r="D52" s="90"/>
      <c r="E52" s="398"/>
      <c r="F52" s="294"/>
      <c r="G52" s="303">
        <f>G38+G45+G50</f>
        <v>591044298</v>
      </c>
      <c r="H52" s="294"/>
      <c r="I52" s="303">
        <f>I38+I45+I50</f>
        <v>2160858725</v>
      </c>
      <c r="J52" s="294"/>
      <c r="K52" s="303">
        <f>K38+K46+K50</f>
        <v>59139680</v>
      </c>
      <c r="L52" s="294"/>
      <c r="M52" s="303">
        <f>M38+M45+M50</f>
        <v>8214712487</v>
      </c>
      <c r="N52" s="294"/>
      <c r="O52" s="327">
        <f>O38+O45+O50</f>
        <v>1000658</v>
      </c>
      <c r="P52" s="299"/>
      <c r="Q52" s="303">
        <f>Q38+Q45+Q50</f>
        <v>11026755848</v>
      </c>
    </row>
    <row r="53" spans="1:17" ht="21.75" thickTop="1"/>
  </sheetData>
  <mergeCells count="6">
    <mergeCell ref="K32:M32"/>
    <mergeCell ref="E3:Q3"/>
    <mergeCell ref="K5:M5"/>
    <mergeCell ref="E9:Q9"/>
    <mergeCell ref="G36:Q36"/>
    <mergeCell ref="G30:Q30"/>
  </mergeCells>
  <printOptions horizontalCentered="1"/>
  <pageMargins left="0.8" right="0.8" top="0.48" bottom="0.5" header="0.4" footer="0.5"/>
  <pageSetup paperSize="9" scale="76" firstPageNumber="13" fitToHeight="0" orientation="landscape" useFirstPageNumber="1" r:id="rId1"/>
  <headerFooter>
    <oddHeader>&amp;C</oddHeader>
    <oddFooter xml:space="preserve">&amp;L&amp;"Angsana New,Regular"&amp;15หมายเหตุประกอบงบการเงินเป็นส่วนหนึ่งของงบการเงินนี้&amp;C&amp;"Angsana New,Regular"&amp;15&amp;P&amp;R&amp;"Angsana New,Italic"&amp;15 </oddFooter>
  </headerFooter>
  <rowBreaks count="1" manualBreakCount="1">
    <brk id="2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R105"/>
  <sheetViews>
    <sheetView showGridLines="0" tabSelected="1" zoomScale="115" zoomScaleNormal="115" zoomScaleSheetLayoutView="100" workbookViewId="0">
      <selection activeCell="D53" sqref="D53"/>
    </sheetView>
  </sheetViews>
  <sheetFormatPr defaultColWidth="10.5703125" defaultRowHeight="19.5" customHeight="1"/>
  <cols>
    <col min="1" max="1" width="53.140625" style="3" customWidth="1"/>
    <col min="2" max="2" width="7" style="4" customWidth="1"/>
    <col min="3" max="3" width="0.85546875" style="4" customWidth="1"/>
    <col min="4" max="4" width="15.140625" style="25" bestFit="1" customWidth="1"/>
    <col min="5" max="5" width="1" style="4" customWidth="1"/>
    <col min="6" max="6" width="15.140625" style="25" bestFit="1" customWidth="1"/>
    <col min="7" max="7" width="1" style="10" customWidth="1"/>
    <col min="8" max="8" width="15.140625" style="25" bestFit="1" customWidth="1"/>
    <col min="9" max="9" width="0.7109375" style="4" customWidth="1"/>
    <col min="10" max="10" width="15.140625" style="25" bestFit="1" customWidth="1"/>
    <col min="11" max="11" width="5.140625" style="4" bestFit="1" customWidth="1"/>
    <col min="12" max="12" width="10.5703125" style="4" bestFit="1" customWidth="1"/>
    <col min="13" max="13" width="2.85546875" style="4" bestFit="1" customWidth="1"/>
    <col min="14" max="14" width="16.140625" style="4" customWidth="1"/>
    <col min="15" max="15" width="12.85546875" style="4" bestFit="1" customWidth="1"/>
    <col min="16" max="16384" width="10.5703125" style="4"/>
  </cols>
  <sheetData>
    <row r="1" spans="1:15" s="116" customFormat="1" ht="21.6" customHeight="1">
      <c r="A1" s="114" t="s">
        <v>105</v>
      </c>
      <c r="B1" s="115"/>
      <c r="C1" s="115"/>
      <c r="D1" s="115"/>
      <c r="E1" s="115"/>
      <c r="F1" s="115"/>
      <c r="G1" s="115"/>
      <c r="H1" s="115"/>
      <c r="I1" s="115"/>
      <c r="J1" s="115"/>
      <c r="L1" s="121"/>
      <c r="M1" s="122"/>
      <c r="N1" s="122"/>
      <c r="O1" s="122"/>
    </row>
    <row r="2" spans="1:15" s="116" customFormat="1" ht="21.75" customHeight="1">
      <c r="A2" s="117" t="s">
        <v>12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5" ht="20.25" customHeight="1">
      <c r="C3" s="5"/>
      <c r="D3" s="410" t="s">
        <v>0</v>
      </c>
      <c r="E3" s="410"/>
      <c r="F3" s="410"/>
      <c r="G3" s="5"/>
      <c r="H3" s="410" t="s">
        <v>32</v>
      </c>
      <c r="I3" s="410"/>
      <c r="J3" s="410"/>
      <c r="L3" s="1"/>
      <c r="M3" s="1"/>
      <c r="N3" s="1"/>
      <c r="O3" s="1"/>
    </row>
    <row r="4" spans="1:15" ht="45" customHeight="1">
      <c r="C4" s="5"/>
      <c r="D4" s="413" t="s">
        <v>101</v>
      </c>
      <c r="E4" s="413"/>
      <c r="F4" s="413"/>
      <c r="G4" s="5"/>
      <c r="H4" s="413" t="s">
        <v>101</v>
      </c>
      <c r="I4" s="413"/>
      <c r="J4" s="413"/>
      <c r="L4" s="1"/>
      <c r="M4" s="1"/>
      <c r="N4" s="1"/>
      <c r="O4" s="1"/>
    </row>
    <row r="5" spans="1:15" ht="19.5" customHeight="1">
      <c r="B5" s="57"/>
      <c r="C5" s="7"/>
      <c r="D5" s="56" t="s">
        <v>220</v>
      </c>
      <c r="E5" s="56"/>
      <c r="F5" s="56" t="s">
        <v>211</v>
      </c>
      <c r="G5" s="56"/>
      <c r="H5" s="56" t="s">
        <v>220</v>
      </c>
      <c r="I5" s="56"/>
      <c r="J5" s="56" t="s">
        <v>211</v>
      </c>
    </row>
    <row r="6" spans="1:15" ht="19.5" customHeight="1">
      <c r="B6" s="334"/>
      <c r="C6" s="7"/>
      <c r="D6" s="411" t="s">
        <v>100</v>
      </c>
      <c r="E6" s="411"/>
      <c r="F6" s="411"/>
      <c r="G6" s="411"/>
      <c r="H6" s="411"/>
      <c r="I6" s="411"/>
      <c r="J6" s="411"/>
    </row>
    <row r="7" spans="1:15" ht="20.25" customHeight="1">
      <c r="A7" s="165" t="s">
        <v>28</v>
      </c>
      <c r="B7" s="166"/>
      <c r="G7" s="4"/>
    </row>
    <row r="8" spans="1:15" ht="20.25" customHeight="1">
      <c r="A8" s="167" t="s">
        <v>102</v>
      </c>
      <c r="B8" s="164"/>
      <c r="C8" s="7"/>
      <c r="D8" s="14">
        <f>'plt 9-10'!D27</f>
        <v>1678403661</v>
      </c>
      <c r="E8" s="14"/>
      <c r="F8" s="14">
        <f>'plt 9-10'!F27</f>
        <v>1747473205</v>
      </c>
      <c r="G8" s="14"/>
      <c r="H8" s="202">
        <f>'plt 9-10'!H27</f>
        <v>1765541886</v>
      </c>
      <c r="I8" s="14"/>
      <c r="J8" s="14">
        <f>'plt 9-10'!J27</f>
        <v>2140279439</v>
      </c>
    </row>
    <row r="9" spans="1:15" ht="20.25" customHeight="1">
      <c r="A9" s="168" t="s">
        <v>142</v>
      </c>
      <c r="B9" s="164"/>
      <c r="C9" s="7"/>
      <c r="D9" s="14"/>
      <c r="E9" s="14"/>
      <c r="F9" s="14"/>
      <c r="G9" s="14"/>
      <c r="H9" s="14"/>
      <c r="I9" s="14"/>
      <c r="J9" s="14"/>
    </row>
    <row r="10" spans="1:15" ht="20.25" customHeight="1">
      <c r="A10" s="164" t="s">
        <v>204</v>
      </c>
      <c r="B10" s="164"/>
      <c r="C10" s="7"/>
      <c r="D10" s="14">
        <f>-'plt 9-10'!D26</f>
        <v>119739168</v>
      </c>
      <c r="E10" s="14"/>
      <c r="F10" s="14">
        <f>-'plt 9-10'!F26</f>
        <v>131493397</v>
      </c>
      <c r="G10" s="14"/>
      <c r="H10" s="202">
        <f>-'plt 9-10'!H26</f>
        <v>15133353</v>
      </c>
      <c r="I10" s="99"/>
      <c r="J10" s="202">
        <f>-'plt 9-10'!J26</f>
        <v>28760063</v>
      </c>
    </row>
    <row r="11" spans="1:15" ht="20.25" customHeight="1">
      <c r="A11" s="167" t="s">
        <v>187</v>
      </c>
      <c r="B11" s="164"/>
      <c r="C11" s="7"/>
      <c r="D11" s="14">
        <v>-17304039</v>
      </c>
      <c r="E11" s="14"/>
      <c r="F11" s="14">
        <v>-14169662</v>
      </c>
      <c r="G11" s="14"/>
      <c r="H11" s="195">
        <v>0</v>
      </c>
      <c r="I11" s="99"/>
      <c r="J11" s="195">
        <v>0</v>
      </c>
    </row>
    <row r="12" spans="1:15" ht="20.100000000000001" customHeight="1">
      <c r="A12" s="163" t="s">
        <v>157</v>
      </c>
      <c r="B12" s="164"/>
      <c r="C12" s="7"/>
      <c r="D12" s="14"/>
      <c r="E12" s="14"/>
      <c r="F12" s="14"/>
      <c r="G12" s="14"/>
      <c r="H12" s="195"/>
      <c r="I12" s="99"/>
      <c r="J12" s="195"/>
    </row>
    <row r="13" spans="1:15" s="10" customFormat="1" ht="20.25" customHeight="1">
      <c r="A13" s="163" t="s">
        <v>199</v>
      </c>
      <c r="B13" s="164"/>
      <c r="C13" s="7"/>
      <c r="D13" s="14">
        <v>1019689462</v>
      </c>
      <c r="E13" s="14"/>
      <c r="F13" s="14">
        <v>1052429231</v>
      </c>
      <c r="G13" s="14"/>
      <c r="H13" s="14">
        <f>610963267</f>
        <v>610963267</v>
      </c>
      <c r="I13" s="14"/>
      <c r="J13" s="14">
        <v>606994293</v>
      </c>
      <c r="L13" s="4"/>
      <c r="M13" s="4"/>
      <c r="N13" s="4"/>
      <c r="O13" s="4"/>
    </row>
    <row r="14" spans="1:15" s="10" customFormat="1" ht="20.25" customHeight="1">
      <c r="A14" s="163" t="s">
        <v>75</v>
      </c>
      <c r="B14" s="164"/>
      <c r="C14" s="7"/>
      <c r="D14" s="14">
        <v>46936565</v>
      </c>
      <c r="E14" s="14"/>
      <c r="F14" s="14">
        <v>43137314</v>
      </c>
      <c r="G14" s="14"/>
      <c r="H14" s="14">
        <v>18273301</v>
      </c>
      <c r="I14" s="14"/>
      <c r="J14" s="14">
        <v>17983903</v>
      </c>
      <c r="M14" s="4"/>
    </row>
    <row r="15" spans="1:15" s="10" customFormat="1" ht="20.25" customHeight="1">
      <c r="A15" s="163" t="s">
        <v>192</v>
      </c>
      <c r="B15" s="164"/>
      <c r="C15" s="7"/>
      <c r="D15" s="14">
        <v>45017949</v>
      </c>
      <c r="E15" s="14"/>
      <c r="F15" s="14">
        <v>30099774</v>
      </c>
      <c r="G15" s="14"/>
      <c r="H15" s="14">
        <v>44278050</v>
      </c>
      <c r="I15" s="14"/>
      <c r="J15" s="14">
        <v>24136934</v>
      </c>
      <c r="M15" s="4"/>
    </row>
    <row r="16" spans="1:15" s="10" customFormat="1" ht="20.25" customHeight="1">
      <c r="A16" s="335" t="s">
        <v>205</v>
      </c>
      <c r="B16" s="164"/>
      <c r="C16" s="7"/>
      <c r="D16" s="14">
        <v>-11000</v>
      </c>
      <c r="E16" s="14"/>
      <c r="F16" s="376">
        <v>-11000</v>
      </c>
      <c r="G16" s="14"/>
      <c r="H16" s="99">
        <v>0</v>
      </c>
      <c r="I16" s="14"/>
      <c r="J16" s="99">
        <v>0</v>
      </c>
      <c r="M16" s="4"/>
    </row>
    <row r="17" spans="1:13" ht="20.25" customHeight="1">
      <c r="A17" s="423" t="s">
        <v>147</v>
      </c>
      <c r="B17" s="423"/>
      <c r="C17" s="7"/>
      <c r="D17" s="14">
        <v>8169289</v>
      </c>
      <c r="E17" s="14"/>
      <c r="F17" s="14">
        <v>-942621</v>
      </c>
      <c r="G17" s="14"/>
      <c r="H17" s="23">
        <v>10986042</v>
      </c>
      <c r="I17" s="14"/>
      <c r="J17" s="23">
        <v>-22034000</v>
      </c>
      <c r="M17" s="10"/>
    </row>
    <row r="18" spans="1:13" ht="20.25" hidden="1" customHeight="1">
      <c r="A18" s="169" t="s">
        <v>113</v>
      </c>
      <c r="B18" s="169"/>
      <c r="C18" s="7"/>
      <c r="D18" s="14"/>
      <c r="E18" s="14"/>
      <c r="F18" s="14"/>
      <c r="G18" s="14"/>
      <c r="H18" s="14"/>
      <c r="I18" s="14"/>
      <c r="J18" s="14"/>
      <c r="M18" s="10"/>
    </row>
    <row r="19" spans="1:13" ht="20.25" hidden="1" customHeight="1">
      <c r="A19" s="169" t="s">
        <v>114</v>
      </c>
      <c r="B19" s="169"/>
      <c r="C19" s="7"/>
      <c r="D19" s="106"/>
      <c r="E19" s="14"/>
      <c r="F19" s="106"/>
      <c r="G19" s="23"/>
      <c r="H19" s="106"/>
      <c r="I19" s="23"/>
      <c r="J19" s="106"/>
      <c r="M19" s="10"/>
    </row>
    <row r="20" spans="1:13" ht="20.25" hidden="1" customHeight="1">
      <c r="A20" s="169" t="s">
        <v>193</v>
      </c>
      <c r="B20" s="169"/>
      <c r="C20" s="7"/>
      <c r="E20" s="14"/>
      <c r="F20" s="195"/>
      <c r="G20" s="23"/>
      <c r="H20" s="195"/>
      <c r="I20" s="99"/>
      <c r="J20" s="195"/>
      <c r="M20" s="10"/>
    </row>
    <row r="21" spans="1:13" ht="20.25" hidden="1" customHeight="1">
      <c r="A21" s="169" t="s">
        <v>218</v>
      </c>
      <c r="B21" s="169"/>
      <c r="C21" s="7"/>
      <c r="D21" s="195"/>
      <c r="E21" s="14"/>
      <c r="F21" s="106">
        <v>0</v>
      </c>
      <c r="G21" s="23"/>
      <c r="H21" s="195"/>
      <c r="I21" s="23"/>
      <c r="J21" s="195">
        <v>0</v>
      </c>
      <c r="M21" s="10"/>
    </row>
    <row r="22" spans="1:13" ht="20.25" customHeight="1">
      <c r="A22" s="163" t="s">
        <v>163</v>
      </c>
      <c r="B22" s="164"/>
      <c r="C22" s="7"/>
      <c r="D22" s="106">
        <v>-144138812</v>
      </c>
      <c r="E22" s="14"/>
      <c r="F22" s="14">
        <v>6392923</v>
      </c>
      <c r="G22" s="14"/>
      <c r="H22" s="14">
        <v>18523717</v>
      </c>
      <c r="I22" s="14"/>
      <c r="J22" s="14">
        <v>9108257</v>
      </c>
      <c r="M22" s="10"/>
    </row>
    <row r="23" spans="1:13" ht="20.25" customHeight="1">
      <c r="A23" s="163" t="s">
        <v>126</v>
      </c>
      <c r="B23" s="164"/>
      <c r="C23" s="7"/>
      <c r="D23" s="14">
        <v>51440025</v>
      </c>
      <c r="E23" s="14"/>
      <c r="F23" s="14">
        <v>35272297</v>
      </c>
      <c r="G23" s="14"/>
      <c r="H23" s="14">
        <v>32568168</v>
      </c>
      <c r="I23" s="14"/>
      <c r="J23" s="14">
        <v>21376482</v>
      </c>
    </row>
    <row r="24" spans="1:13" ht="20.25" customHeight="1">
      <c r="A24" s="163" t="s">
        <v>76</v>
      </c>
      <c r="B24" s="164"/>
      <c r="C24" s="7"/>
      <c r="D24" s="14">
        <v>2184675</v>
      </c>
      <c r="E24" s="14"/>
      <c r="F24" s="4">
        <v>2807993</v>
      </c>
      <c r="G24" s="14"/>
      <c r="H24" s="118">
        <v>831599</v>
      </c>
      <c r="I24" s="14"/>
      <c r="J24" s="118">
        <v>824675</v>
      </c>
    </row>
    <row r="25" spans="1:13" ht="20.25" customHeight="1">
      <c r="A25" s="163" t="s">
        <v>230</v>
      </c>
      <c r="B25" s="164"/>
      <c r="C25" s="7"/>
      <c r="D25" s="14"/>
      <c r="E25" s="14"/>
      <c r="F25" s="14"/>
      <c r="G25" s="14"/>
      <c r="H25" s="202"/>
      <c r="I25" s="195"/>
      <c r="J25" s="195"/>
    </row>
    <row r="26" spans="1:13" ht="20.25" customHeight="1">
      <c r="A26" s="163" t="s">
        <v>231</v>
      </c>
      <c r="B26" s="164"/>
      <c r="C26" s="7"/>
      <c r="D26" s="14">
        <v>43127521</v>
      </c>
      <c r="E26" s="14"/>
      <c r="F26" s="14">
        <v>-1076779</v>
      </c>
      <c r="G26" s="14"/>
      <c r="H26" s="202">
        <v>36497447</v>
      </c>
      <c r="I26" s="195"/>
      <c r="J26" s="195">
        <v>0</v>
      </c>
    </row>
    <row r="27" spans="1:13" ht="20.25" customHeight="1">
      <c r="A27" s="169" t="s">
        <v>143</v>
      </c>
      <c r="B27" s="169"/>
      <c r="C27" s="7"/>
      <c r="D27" s="272">
        <v>30781653</v>
      </c>
      <c r="E27" s="14"/>
      <c r="F27" s="14">
        <v>41407072</v>
      </c>
      <c r="G27" s="14"/>
      <c r="H27" s="14">
        <v>15354767</v>
      </c>
      <c r="I27" s="14"/>
      <c r="J27" s="14">
        <v>15962621</v>
      </c>
    </row>
    <row r="28" spans="1:13" ht="20.25" customHeight="1">
      <c r="A28" s="332" t="s">
        <v>200</v>
      </c>
      <c r="B28" s="164"/>
      <c r="C28" s="7"/>
      <c r="D28" s="14"/>
      <c r="F28" s="4"/>
      <c r="G28" s="4"/>
      <c r="H28" s="4"/>
      <c r="J28" s="4"/>
    </row>
    <row r="29" spans="1:13" ht="20.25" customHeight="1">
      <c r="A29" s="332" t="s">
        <v>201</v>
      </c>
      <c r="B29" s="164"/>
      <c r="C29" s="7"/>
      <c r="D29" s="4">
        <v>31915898</v>
      </c>
      <c r="E29" s="14"/>
      <c r="F29" s="14">
        <v>5152836</v>
      </c>
      <c r="G29" s="14"/>
      <c r="H29" s="14">
        <v>41803989</v>
      </c>
      <c r="I29" s="14"/>
      <c r="J29" s="14">
        <v>15720723</v>
      </c>
    </row>
    <row r="30" spans="1:13" ht="20.25" customHeight="1">
      <c r="A30" s="164" t="s">
        <v>89</v>
      </c>
      <c r="B30" s="164"/>
      <c r="C30" s="7"/>
      <c r="D30" s="99">
        <v>0</v>
      </c>
      <c r="E30" s="14"/>
      <c r="F30" s="14">
        <v>201862</v>
      </c>
      <c r="G30" s="14"/>
      <c r="H30" s="99">
        <v>0</v>
      </c>
      <c r="I30" s="14"/>
      <c r="J30" s="14">
        <v>123040</v>
      </c>
    </row>
    <row r="31" spans="1:13" ht="20.25" hidden="1" customHeight="1">
      <c r="A31" s="164" t="s">
        <v>129</v>
      </c>
      <c r="B31" s="164"/>
      <c r="C31" s="7"/>
      <c r="D31" s="15"/>
      <c r="E31" s="14"/>
      <c r="F31" s="15"/>
      <c r="G31" s="14"/>
      <c r="H31" s="23"/>
      <c r="I31" s="14"/>
      <c r="J31" s="23"/>
    </row>
    <row r="32" spans="1:13" ht="20.25" hidden="1" customHeight="1">
      <c r="A32" s="164" t="s">
        <v>77</v>
      </c>
      <c r="B32" s="164"/>
      <c r="C32" s="7"/>
      <c r="D32" s="195"/>
      <c r="E32" s="14"/>
      <c r="F32" s="195"/>
      <c r="G32" s="14"/>
      <c r="H32" s="195"/>
      <c r="I32" s="14"/>
      <c r="J32" s="195"/>
    </row>
    <row r="33" spans="1:12" ht="20.25" hidden="1" customHeight="1">
      <c r="A33" s="164" t="s">
        <v>125</v>
      </c>
      <c r="B33" s="164"/>
      <c r="C33" s="7"/>
      <c r="D33" s="99"/>
      <c r="E33" s="14"/>
      <c r="F33" s="99"/>
      <c r="G33" s="14"/>
      <c r="H33" s="195"/>
      <c r="I33" s="14"/>
      <c r="J33" s="195"/>
    </row>
    <row r="34" spans="1:12" ht="20.25" customHeight="1">
      <c r="A34" s="164" t="s">
        <v>46</v>
      </c>
      <c r="B34" s="164"/>
      <c r="C34" s="7"/>
      <c r="D34" s="99">
        <v>0</v>
      </c>
      <c r="E34" s="99"/>
      <c r="F34" s="195">
        <v>0</v>
      </c>
      <c r="G34" s="14"/>
      <c r="H34" s="14">
        <v>-1372585682</v>
      </c>
      <c r="I34" s="14"/>
      <c r="J34" s="14">
        <v>-1601702263</v>
      </c>
    </row>
    <row r="35" spans="1:12" ht="20.25" customHeight="1">
      <c r="A35" s="164" t="s">
        <v>118</v>
      </c>
      <c r="B35" s="164"/>
      <c r="C35" s="7"/>
      <c r="D35" s="99">
        <v>0</v>
      </c>
      <c r="E35" s="99"/>
      <c r="F35" s="195">
        <v>0</v>
      </c>
      <c r="G35" s="14"/>
      <c r="H35" s="106">
        <v>-13667872</v>
      </c>
      <c r="I35" s="14"/>
      <c r="J35" s="106">
        <v>-16271265</v>
      </c>
    </row>
    <row r="36" spans="1:12" ht="20.25" customHeight="1">
      <c r="A36" s="164" t="s">
        <v>79</v>
      </c>
      <c r="B36" s="164"/>
      <c r="C36" s="7"/>
      <c r="D36" s="40">
        <v>49054705</v>
      </c>
      <c r="E36" s="14"/>
      <c r="F36" s="40">
        <v>96522105</v>
      </c>
      <c r="G36" s="14"/>
      <c r="H36" s="40">
        <v>28214224</v>
      </c>
      <c r="I36" s="23"/>
      <c r="J36" s="40">
        <v>64957172</v>
      </c>
    </row>
    <row r="37" spans="1:12" ht="18.75" customHeight="1">
      <c r="A37" s="170"/>
      <c r="B37" s="164"/>
      <c r="C37" s="7"/>
      <c r="D37" s="14">
        <f>SUM(D8:D36)</f>
        <v>2965006720</v>
      </c>
      <c r="E37" s="14"/>
      <c r="F37" s="14">
        <f>SUM(F8:F36)</f>
        <v>3176189947</v>
      </c>
      <c r="G37" s="14"/>
      <c r="H37" s="14">
        <f>SUM(H8:H36)</f>
        <v>1252716256</v>
      </c>
      <c r="I37" s="14"/>
      <c r="J37" s="14">
        <f>SUM(J8:J36)</f>
        <v>1306220074</v>
      </c>
    </row>
    <row r="38" spans="1:12" ht="20.25" customHeight="1">
      <c r="A38" s="171" t="s">
        <v>78</v>
      </c>
      <c r="B38" s="164"/>
      <c r="D38" s="120"/>
      <c r="E38" s="120"/>
      <c r="F38" s="120"/>
      <c r="G38" s="14"/>
      <c r="H38" s="120"/>
      <c r="I38" s="15"/>
      <c r="J38" s="120"/>
    </row>
    <row r="39" spans="1:12" ht="20.25" customHeight="1">
      <c r="A39" s="163" t="s">
        <v>145</v>
      </c>
      <c r="B39" s="164"/>
      <c r="D39" s="14">
        <v>1080032802</v>
      </c>
      <c r="E39" s="14"/>
      <c r="F39" s="14">
        <v>400499932</v>
      </c>
      <c r="G39" s="14"/>
      <c r="H39" s="370">
        <v>-499554639</v>
      </c>
      <c r="I39" s="14"/>
      <c r="J39" s="14">
        <v>292199939</v>
      </c>
      <c r="K39" s="10"/>
    </row>
    <row r="40" spans="1:12" ht="20.25" customHeight="1">
      <c r="A40" s="163" t="s">
        <v>49</v>
      </c>
      <c r="B40" s="164"/>
      <c r="D40" s="14">
        <v>119963702</v>
      </c>
      <c r="E40" s="14"/>
      <c r="F40" s="14">
        <v>1080774091</v>
      </c>
      <c r="G40" s="14"/>
      <c r="H40" s="374">
        <v>-133550229</v>
      </c>
      <c r="I40" s="14"/>
      <c r="J40" s="14">
        <v>657071276</v>
      </c>
      <c r="K40" s="10"/>
      <c r="L40" s="14"/>
    </row>
    <row r="41" spans="1:12" ht="20.25" customHeight="1">
      <c r="A41" s="163" t="s">
        <v>176</v>
      </c>
      <c r="B41" s="164"/>
      <c r="D41" s="14">
        <v>51418719</v>
      </c>
      <c r="E41" s="14"/>
      <c r="F41" s="14">
        <v>11539192</v>
      </c>
      <c r="G41" s="99"/>
      <c r="H41" s="272">
        <v>32395836</v>
      </c>
      <c r="I41" s="99"/>
      <c r="J41" s="99">
        <v>0</v>
      </c>
      <c r="K41" s="10"/>
      <c r="L41" s="14"/>
    </row>
    <row r="42" spans="1:12" ht="20.25" customHeight="1">
      <c r="A42" s="163" t="s">
        <v>35</v>
      </c>
      <c r="B42" s="164"/>
      <c r="D42" s="14">
        <v>16920360</v>
      </c>
      <c r="E42" s="14"/>
      <c r="F42" s="14">
        <v>51735227</v>
      </c>
      <c r="G42" s="14"/>
      <c r="H42" s="374">
        <f>-1279172+1700000</f>
        <v>420828</v>
      </c>
      <c r="I42" s="14"/>
      <c r="J42" s="14">
        <v>16011580</v>
      </c>
      <c r="K42" s="10"/>
      <c r="L42" s="23"/>
    </row>
    <row r="43" spans="1:12" ht="20.25" customHeight="1">
      <c r="A43" s="163" t="s">
        <v>170</v>
      </c>
      <c r="B43" s="164"/>
      <c r="D43" s="14">
        <v>-16055651</v>
      </c>
      <c r="E43" s="14"/>
      <c r="F43" s="14">
        <v>-14606309</v>
      </c>
      <c r="G43" s="14"/>
      <c r="H43" s="374">
        <v>-13207132</v>
      </c>
      <c r="I43" s="14"/>
      <c r="J43" s="14">
        <v>-14606309</v>
      </c>
      <c r="K43" s="10"/>
      <c r="L43" s="23"/>
    </row>
    <row r="44" spans="1:12" ht="20.25" customHeight="1">
      <c r="A44" s="163" t="s">
        <v>52</v>
      </c>
      <c r="B44" s="164"/>
      <c r="D44" s="14">
        <v>-811843</v>
      </c>
      <c r="E44" s="14"/>
      <c r="F44" s="14">
        <v>4027024</v>
      </c>
      <c r="G44" s="14"/>
      <c r="H44" s="374">
        <v>7356497</v>
      </c>
      <c r="I44" s="14"/>
      <c r="J44" s="14">
        <v>-5000</v>
      </c>
      <c r="K44" s="10"/>
      <c r="L44" s="14"/>
    </row>
    <row r="45" spans="1:12" ht="20.25" customHeight="1">
      <c r="A45" s="163" t="s">
        <v>146</v>
      </c>
      <c r="B45" s="164"/>
      <c r="D45" s="14">
        <v>-724160726</v>
      </c>
      <c r="E45" s="14"/>
      <c r="F45" s="14">
        <v>-354105900</v>
      </c>
      <c r="G45" s="14"/>
      <c r="H45" s="374">
        <v>25749066</v>
      </c>
      <c r="I45" s="14"/>
      <c r="J45" s="14">
        <v>-452390690</v>
      </c>
      <c r="K45" s="10"/>
      <c r="L45" s="14"/>
    </row>
    <row r="46" spans="1:12" ht="20.25" customHeight="1">
      <c r="A46" s="163" t="s">
        <v>214</v>
      </c>
      <c r="B46" s="164"/>
      <c r="D46" s="195">
        <v>0</v>
      </c>
      <c r="E46" s="14"/>
      <c r="F46" s="202">
        <v>36360000</v>
      </c>
      <c r="G46" s="14"/>
      <c r="H46" s="195">
        <v>0</v>
      </c>
      <c r="I46" s="14"/>
      <c r="J46" s="195">
        <v>0</v>
      </c>
      <c r="K46" s="10"/>
      <c r="L46" s="17"/>
    </row>
    <row r="47" spans="1:12" ht="20.25" customHeight="1">
      <c r="A47" s="163" t="s">
        <v>160</v>
      </c>
      <c r="B47" s="164"/>
      <c r="D47" s="40">
        <v>-19463511</v>
      </c>
      <c r="E47" s="14"/>
      <c r="F47" s="40">
        <v>-65901148</v>
      </c>
      <c r="G47" s="14"/>
      <c r="H47" s="372">
        <v>-9405411</v>
      </c>
      <c r="I47" s="14"/>
      <c r="J47" s="119">
        <v>-16605659</v>
      </c>
      <c r="K47" s="10"/>
      <c r="L47" s="14"/>
    </row>
    <row r="48" spans="1:12" ht="20.25" customHeight="1">
      <c r="A48" s="163" t="s">
        <v>148</v>
      </c>
      <c r="B48" s="164"/>
      <c r="D48" s="14">
        <f>SUM(D37:D47)</f>
        <v>3472850572</v>
      </c>
      <c r="E48" s="14"/>
      <c r="F48" s="14">
        <f>SUM(F37:F47)</f>
        <v>4326512056</v>
      </c>
      <c r="G48" s="14"/>
      <c r="H48" s="14">
        <f>SUM(H37:H47)</f>
        <v>662921072</v>
      </c>
      <c r="I48" s="14"/>
      <c r="J48" s="14">
        <f>SUM(J37:J47)</f>
        <v>1787895211</v>
      </c>
      <c r="K48" s="10"/>
      <c r="L48" s="14"/>
    </row>
    <row r="49" spans="1:15" ht="20.25" customHeight="1">
      <c r="A49" s="163" t="s">
        <v>149</v>
      </c>
      <c r="B49" s="164"/>
      <c r="D49" s="374">
        <v>-162651699</v>
      </c>
      <c r="E49" s="14"/>
      <c r="F49" s="14">
        <v>-112690043</v>
      </c>
      <c r="G49" s="14"/>
      <c r="H49" s="370">
        <v>-59933262</v>
      </c>
      <c r="I49" s="14"/>
      <c r="J49" s="14">
        <v>-12899732</v>
      </c>
      <c r="K49" s="10"/>
      <c r="L49" s="23"/>
    </row>
    <row r="50" spans="1:15" ht="20.25" customHeight="1">
      <c r="A50" s="170" t="s">
        <v>150</v>
      </c>
      <c r="B50" s="164"/>
      <c r="D50" s="66">
        <f>SUM(D48:D49)</f>
        <v>3310198873</v>
      </c>
      <c r="E50" s="41"/>
      <c r="F50" s="66">
        <f>SUM(F48:F49)</f>
        <v>4213822013</v>
      </c>
      <c r="G50" s="41"/>
      <c r="H50" s="66">
        <f>SUM(H48:H49)</f>
        <v>602987810</v>
      </c>
      <c r="I50" s="41"/>
      <c r="J50" s="66">
        <f>SUM(J48:J49)</f>
        <v>1774995479</v>
      </c>
      <c r="K50" s="53"/>
      <c r="L50" s="10"/>
    </row>
    <row r="51" spans="1:15" ht="10.5" customHeight="1">
      <c r="A51" s="52"/>
      <c r="B51" s="7"/>
      <c r="D51" s="54"/>
      <c r="E51" s="53"/>
      <c r="F51" s="54"/>
      <c r="G51" s="53"/>
      <c r="H51" s="54"/>
      <c r="I51" s="53"/>
      <c r="J51" s="54"/>
      <c r="K51" s="53"/>
      <c r="L51" s="10"/>
    </row>
    <row r="52" spans="1:15" s="116" customFormat="1" ht="21.6" customHeight="1">
      <c r="A52" s="114" t="s">
        <v>105</v>
      </c>
      <c r="B52" s="115"/>
      <c r="C52" s="115"/>
      <c r="D52" s="115"/>
      <c r="E52" s="115"/>
      <c r="F52" s="115"/>
      <c r="G52" s="115"/>
      <c r="H52" s="115"/>
      <c r="I52" s="115"/>
      <c r="J52" s="115"/>
      <c r="L52" s="121"/>
      <c r="M52" s="122"/>
      <c r="N52" s="122"/>
      <c r="O52" s="122"/>
    </row>
    <row r="53" spans="1:15" s="116" customFormat="1" ht="21.75" customHeight="1">
      <c r="A53" s="117" t="s">
        <v>12</v>
      </c>
      <c r="B53" s="115"/>
      <c r="C53" s="115"/>
      <c r="D53" s="115"/>
      <c r="E53" s="115"/>
      <c r="F53" s="115"/>
      <c r="G53" s="115"/>
      <c r="H53" s="115"/>
      <c r="I53" s="115"/>
      <c r="J53" s="115"/>
    </row>
    <row r="54" spans="1:15" ht="20.25" customHeight="1">
      <c r="C54" s="5"/>
      <c r="D54" s="410" t="s">
        <v>0</v>
      </c>
      <c r="E54" s="410"/>
      <c r="F54" s="410"/>
      <c r="G54" s="5"/>
      <c r="H54" s="410" t="s">
        <v>32</v>
      </c>
      <c r="I54" s="410"/>
      <c r="J54" s="410"/>
      <c r="L54" s="1"/>
      <c r="M54" s="1"/>
      <c r="N54" s="1"/>
      <c r="O54" s="1"/>
    </row>
    <row r="55" spans="1:15" ht="45" customHeight="1">
      <c r="C55" s="5"/>
      <c r="D55" s="413" t="s">
        <v>101</v>
      </c>
      <c r="E55" s="413"/>
      <c r="F55" s="413"/>
      <c r="G55" s="5"/>
      <c r="H55" s="413" t="s">
        <v>101</v>
      </c>
      <c r="I55" s="413"/>
      <c r="J55" s="413"/>
      <c r="L55" s="1"/>
      <c r="M55" s="1"/>
      <c r="N55" s="1"/>
      <c r="O55" s="1"/>
    </row>
    <row r="56" spans="1:15" ht="19.5" customHeight="1">
      <c r="B56" s="57"/>
      <c r="C56" s="7"/>
      <c r="D56" s="56" t="s">
        <v>220</v>
      </c>
      <c r="E56" s="56"/>
      <c r="F56" s="56" t="s">
        <v>211</v>
      </c>
      <c r="G56" s="56"/>
      <c r="H56" s="56" t="s">
        <v>220</v>
      </c>
      <c r="I56" s="56"/>
      <c r="J56" s="56" t="s">
        <v>211</v>
      </c>
    </row>
    <row r="57" spans="1:15" ht="19.5" customHeight="1">
      <c r="B57" s="123"/>
      <c r="C57" s="7"/>
      <c r="D57" s="411" t="s">
        <v>100</v>
      </c>
      <c r="E57" s="411"/>
      <c r="F57" s="411"/>
      <c r="G57" s="411"/>
      <c r="H57" s="411"/>
      <c r="I57" s="411"/>
      <c r="J57" s="411"/>
    </row>
    <row r="58" spans="1:15" ht="20.25" customHeight="1">
      <c r="A58" s="172" t="s">
        <v>29</v>
      </c>
      <c r="B58" s="164"/>
      <c r="D58" s="26"/>
      <c r="E58" s="27"/>
      <c r="F58" s="26"/>
      <c r="H58" s="26"/>
      <c r="I58" s="10"/>
      <c r="J58" s="26"/>
      <c r="K58" s="10"/>
    </row>
    <row r="59" spans="1:15" ht="19.7" hidden="1" customHeight="1">
      <c r="A59" s="173" t="s">
        <v>198</v>
      </c>
      <c r="B59" s="164"/>
      <c r="D59" s="195"/>
      <c r="E59" s="27"/>
      <c r="F59" s="195">
        <v>0</v>
      </c>
      <c r="H59" s="195"/>
      <c r="I59" s="10"/>
      <c r="J59" s="195">
        <v>0</v>
      </c>
      <c r="K59" s="10"/>
    </row>
    <row r="60" spans="1:15" ht="19.7" hidden="1" customHeight="1">
      <c r="A60" s="173" t="s">
        <v>194</v>
      </c>
      <c r="B60" s="164"/>
      <c r="D60" s="99"/>
      <c r="E60" s="27"/>
      <c r="F60" s="99"/>
      <c r="H60" s="195"/>
      <c r="I60" s="10"/>
      <c r="J60" s="195"/>
      <c r="K60" s="10"/>
    </row>
    <row r="61" spans="1:15" ht="20.100000000000001" customHeight="1">
      <c r="A61" s="163" t="s">
        <v>154</v>
      </c>
      <c r="B61" s="164"/>
      <c r="D61" s="14">
        <v>145938691</v>
      </c>
      <c r="E61" s="14"/>
      <c r="F61" s="14">
        <v>23916935</v>
      </c>
      <c r="G61" s="14"/>
      <c r="H61" s="14">
        <v>17344989</v>
      </c>
      <c r="I61" s="14"/>
      <c r="J61" s="14">
        <v>9188432</v>
      </c>
      <c r="L61" s="10"/>
      <c r="M61" s="10"/>
      <c r="N61" s="10"/>
      <c r="O61" s="10"/>
    </row>
    <row r="62" spans="1:15" ht="20.100000000000001" customHeight="1">
      <c r="A62" s="163" t="s">
        <v>164</v>
      </c>
      <c r="B62" s="164"/>
      <c r="D62" s="14">
        <v>-413118187</v>
      </c>
      <c r="E62" s="14"/>
      <c r="F62" s="14">
        <v>-443880205</v>
      </c>
      <c r="G62" s="14"/>
      <c r="H62" s="14">
        <v>-228918097</v>
      </c>
      <c r="I62" s="14"/>
      <c r="J62" s="14">
        <v>-261443866</v>
      </c>
    </row>
    <row r="63" spans="1:15" ht="20.100000000000001" customHeight="1">
      <c r="A63" s="163" t="s">
        <v>166</v>
      </c>
      <c r="B63" s="164"/>
      <c r="D63" s="14">
        <v>-1932950</v>
      </c>
      <c r="E63" s="14"/>
      <c r="F63" s="14">
        <v>-4221078</v>
      </c>
      <c r="G63" s="14"/>
      <c r="H63" s="17">
        <v>-932713</v>
      </c>
      <c r="I63" s="14"/>
      <c r="J63" s="17">
        <v>-3513223</v>
      </c>
    </row>
    <row r="64" spans="1:15" ht="24.6" customHeight="1">
      <c r="A64" s="163" t="s">
        <v>241</v>
      </c>
      <c r="B64" s="164"/>
      <c r="D64" s="14">
        <v>-531442967</v>
      </c>
      <c r="E64" s="14"/>
      <c r="F64" s="195">
        <v>0</v>
      </c>
      <c r="G64" s="14"/>
      <c r="H64" s="405">
        <v>-200005690</v>
      </c>
      <c r="I64" s="14"/>
      <c r="J64" s="195">
        <v>0</v>
      </c>
    </row>
    <row r="65" spans="1:18" ht="24.6" customHeight="1">
      <c r="A65" s="163" t="s">
        <v>242</v>
      </c>
      <c r="B65" s="164"/>
      <c r="D65" s="195">
        <v>0</v>
      </c>
      <c r="E65" s="14"/>
      <c r="F65" s="195">
        <v>0</v>
      </c>
      <c r="G65" s="14"/>
      <c r="H65" s="272">
        <v>450000000</v>
      </c>
      <c r="I65" s="14"/>
      <c r="J65" s="195">
        <v>0</v>
      </c>
    </row>
    <row r="66" spans="1:18" ht="19.7" customHeight="1">
      <c r="A66" s="163" t="s">
        <v>46</v>
      </c>
      <c r="B66" s="164"/>
      <c r="D66" s="195">
        <v>0</v>
      </c>
      <c r="E66" s="14"/>
      <c r="F66" s="195">
        <v>0</v>
      </c>
      <c r="G66" s="23"/>
      <c r="H66" s="370">
        <v>1372585682</v>
      </c>
      <c r="I66" s="14"/>
      <c r="J66" s="370">
        <v>1601702263</v>
      </c>
    </row>
    <row r="67" spans="1:18" ht="20.25" customHeight="1">
      <c r="A67" s="163" t="s">
        <v>118</v>
      </c>
      <c r="B67" s="164"/>
      <c r="D67" s="106">
        <v>13667872</v>
      </c>
      <c r="E67" s="14"/>
      <c r="F67" s="106">
        <v>16271265</v>
      </c>
      <c r="G67" s="23"/>
      <c r="H67" s="106">
        <v>13667872</v>
      </c>
      <c r="I67" s="14"/>
      <c r="J67" s="106">
        <v>16271265</v>
      </c>
    </row>
    <row r="68" spans="1:18" ht="20.25" customHeight="1">
      <c r="A68" s="170" t="s">
        <v>151</v>
      </c>
      <c r="B68" s="164"/>
      <c r="D68" s="124">
        <f>SUM(D59:D67)</f>
        <v>-786887541</v>
      </c>
      <c r="E68" s="125"/>
      <c r="F68" s="124">
        <f>SUM(F59:F67)</f>
        <v>-407913083</v>
      </c>
      <c r="G68" s="41"/>
      <c r="H68" s="124">
        <f>SUM(H59:H67)</f>
        <v>1423742043</v>
      </c>
      <c r="I68" s="63"/>
      <c r="J68" s="124">
        <f>SUM(J59:J67)</f>
        <v>1362204871</v>
      </c>
    </row>
    <row r="69" spans="1:18" ht="15" customHeight="1">
      <c r="A69" s="170"/>
      <c r="B69" s="164"/>
      <c r="D69" s="209"/>
      <c r="E69" s="125"/>
      <c r="F69" s="209"/>
      <c r="G69" s="41"/>
      <c r="H69" s="209"/>
      <c r="I69" s="63"/>
      <c r="J69" s="209"/>
    </row>
    <row r="70" spans="1:18" ht="20.25" customHeight="1">
      <c r="A70" s="174" t="s">
        <v>30</v>
      </c>
      <c r="B70" s="164"/>
      <c r="D70" s="128"/>
      <c r="E70" s="20"/>
      <c r="F70" s="128"/>
      <c r="G70" s="14"/>
      <c r="H70" s="128"/>
      <c r="I70" s="15"/>
      <c r="J70" s="128"/>
    </row>
    <row r="71" spans="1:18" ht="20.25" customHeight="1">
      <c r="A71" s="163" t="s">
        <v>79</v>
      </c>
      <c r="B71" s="164"/>
      <c r="D71" s="14">
        <v>-56311566</v>
      </c>
      <c r="E71" s="14"/>
      <c r="F71" s="14">
        <v>-108533966</v>
      </c>
      <c r="G71" s="14"/>
      <c r="H71" s="370">
        <v>-36549863</v>
      </c>
      <c r="I71" s="14"/>
      <c r="J71" s="370">
        <v>-77271968</v>
      </c>
      <c r="K71" s="10"/>
      <c r="L71" s="10"/>
    </row>
    <row r="72" spans="1:18" ht="20.25" customHeight="1">
      <c r="A72" s="175" t="s">
        <v>232</v>
      </c>
      <c r="B72" s="164"/>
      <c r="D72" s="14">
        <v>-279000000.00000006</v>
      </c>
      <c r="E72" s="14"/>
      <c r="F72" s="14">
        <v>-897506963</v>
      </c>
      <c r="G72" s="14"/>
      <c r="H72" s="370">
        <v>-111000000</v>
      </c>
      <c r="I72" s="14"/>
      <c r="J72" s="370">
        <v>-951881905</v>
      </c>
    </row>
    <row r="73" spans="1:18" ht="22.5" hidden="1" customHeight="1">
      <c r="A73" s="164" t="s">
        <v>117</v>
      </c>
      <c r="B73" s="164"/>
      <c r="D73" s="102"/>
      <c r="E73" s="20"/>
      <c r="F73" s="102"/>
      <c r="G73" s="14"/>
      <c r="H73" s="102"/>
      <c r="I73" s="15"/>
      <c r="J73" s="102"/>
    </row>
    <row r="74" spans="1:18" ht="20.25" customHeight="1">
      <c r="A74" s="175" t="s">
        <v>188</v>
      </c>
      <c r="B74" s="164"/>
      <c r="D74" s="20">
        <v>-18550041</v>
      </c>
      <c r="E74" s="20"/>
      <c r="F74" s="371">
        <v>-27398054</v>
      </c>
      <c r="G74" s="14"/>
      <c r="H74" s="371">
        <v>-13549819</v>
      </c>
      <c r="I74" s="15"/>
      <c r="J74" s="371">
        <v>-9978605</v>
      </c>
    </row>
    <row r="75" spans="1:18" ht="20.25" customHeight="1">
      <c r="A75" s="175" t="s">
        <v>243</v>
      </c>
      <c r="B75" s="164"/>
      <c r="D75" s="195">
        <v>0</v>
      </c>
      <c r="E75" s="20"/>
      <c r="F75" s="195">
        <v>0</v>
      </c>
      <c r="G75" s="14"/>
      <c r="H75" s="371">
        <v>110000000</v>
      </c>
      <c r="I75" s="15"/>
      <c r="J75" s="195">
        <v>0</v>
      </c>
    </row>
    <row r="76" spans="1:18" ht="20.25" customHeight="1">
      <c r="A76" s="163" t="s">
        <v>202</v>
      </c>
      <c r="B76" s="164"/>
      <c r="D76" s="195">
        <v>0</v>
      </c>
      <c r="E76" s="20"/>
      <c r="F76" s="370">
        <v>146000000</v>
      </c>
      <c r="G76" s="14"/>
      <c r="H76" s="118">
        <v>0</v>
      </c>
      <c r="I76" s="15"/>
      <c r="J76" s="118">
        <v>146000000</v>
      </c>
    </row>
    <row r="77" spans="1:18" ht="20.25" customHeight="1">
      <c r="A77" s="163" t="s">
        <v>203</v>
      </c>
      <c r="B77" s="164"/>
      <c r="D77" s="20">
        <v>-807640625</v>
      </c>
      <c r="E77" s="20"/>
      <c r="F77" s="371">
        <v>-854193350</v>
      </c>
      <c r="G77" s="14"/>
      <c r="H77" s="370">
        <v>-676893141</v>
      </c>
      <c r="I77" s="15"/>
      <c r="J77" s="370">
        <v>-537999770</v>
      </c>
    </row>
    <row r="78" spans="1:18" ht="19.7" customHeight="1">
      <c r="A78" s="173" t="s">
        <v>47</v>
      </c>
      <c r="B78" s="164"/>
      <c r="D78" s="118">
        <v>0</v>
      </c>
      <c r="E78" s="27"/>
      <c r="F78" s="118">
        <v>3257040</v>
      </c>
      <c r="H78" s="225">
        <v>0</v>
      </c>
      <c r="I78" s="10"/>
      <c r="J78" s="225">
        <v>3257040</v>
      </c>
      <c r="K78" s="10"/>
      <c r="L78" s="106"/>
      <c r="M78" s="14"/>
      <c r="N78" s="106"/>
      <c r="O78" s="23"/>
      <c r="P78" s="106"/>
      <c r="Q78" s="14"/>
      <c r="R78" s="106"/>
    </row>
    <row r="79" spans="1:18" ht="22.5" hidden="1" customHeight="1">
      <c r="A79" s="173" t="s">
        <v>119</v>
      </c>
      <c r="B79" s="164"/>
      <c r="D79" s="14"/>
      <c r="E79" s="20"/>
      <c r="F79" s="14"/>
      <c r="G79" s="14"/>
      <c r="H79" s="14"/>
      <c r="I79" s="15"/>
      <c r="J79" s="14"/>
    </row>
    <row r="80" spans="1:18" ht="22.5" hidden="1" customHeight="1">
      <c r="A80" s="173" t="s">
        <v>120</v>
      </c>
      <c r="B80" s="164"/>
      <c r="D80" s="103"/>
      <c r="E80" s="27"/>
      <c r="F80" s="103"/>
      <c r="H80" s="102"/>
      <c r="I80" s="10"/>
      <c r="J80" s="102"/>
      <c r="K80" s="10"/>
    </row>
    <row r="81" spans="1:16" ht="20.25" hidden="1" customHeight="1">
      <c r="A81" s="164" t="s">
        <v>158</v>
      </c>
      <c r="B81" s="164"/>
      <c r="D81" s="103"/>
      <c r="E81" s="27"/>
      <c r="F81" s="103"/>
      <c r="H81" s="102"/>
      <c r="I81" s="10"/>
      <c r="J81" s="102"/>
      <c r="K81" s="10"/>
    </row>
    <row r="82" spans="1:16" ht="20.25" hidden="1" customHeight="1">
      <c r="A82" s="164" t="s">
        <v>120</v>
      </c>
      <c r="B82" s="164"/>
      <c r="D82" s="99"/>
      <c r="E82" s="208"/>
      <c r="F82" s="99"/>
      <c r="G82" s="208"/>
      <c r="H82" s="99"/>
      <c r="I82" s="208"/>
      <c r="J82" s="99"/>
    </row>
    <row r="83" spans="1:16" ht="20.25" hidden="1" customHeight="1">
      <c r="A83" s="175" t="s">
        <v>47</v>
      </c>
      <c r="B83" s="164"/>
      <c r="D83" s="99"/>
      <c r="E83" s="20"/>
      <c r="F83" s="99"/>
      <c r="G83" s="14"/>
      <c r="H83" s="118"/>
      <c r="I83" s="15"/>
      <c r="J83" s="118"/>
    </row>
    <row r="84" spans="1:16" ht="20.25" customHeight="1">
      <c r="A84" s="164" t="s">
        <v>165</v>
      </c>
      <c r="B84" s="164"/>
      <c r="D84" s="374">
        <v>-1565339620</v>
      </c>
      <c r="E84" s="20"/>
      <c r="F84" s="370">
        <v>-1441461508</v>
      </c>
      <c r="G84" s="14"/>
      <c r="H84" s="14">
        <v>-1536715175</v>
      </c>
      <c r="I84" s="15"/>
      <c r="J84" s="14">
        <v>-1418506315</v>
      </c>
    </row>
    <row r="85" spans="1:16" s="39" customFormat="1" ht="20.25" customHeight="1">
      <c r="A85" s="176" t="s">
        <v>219</v>
      </c>
      <c r="B85" s="177"/>
      <c r="C85" s="47"/>
      <c r="D85" s="66">
        <f>SUM(D71:D84)</f>
        <v>-2726841852</v>
      </c>
      <c r="E85" s="63"/>
      <c r="F85" s="66">
        <f>SUM(F71:F84)</f>
        <v>-3179836801</v>
      </c>
      <c r="G85" s="63"/>
      <c r="H85" s="66">
        <f>SUM(H71:H84)</f>
        <v>-2264707998</v>
      </c>
      <c r="I85" s="63"/>
      <c r="J85" s="66">
        <f>SUM(J71:J84)</f>
        <v>-2846381523</v>
      </c>
    </row>
    <row r="86" spans="1:16" s="39" customFormat="1" ht="15" customHeight="1">
      <c r="A86" s="176"/>
      <c r="B86" s="177"/>
      <c r="C86" s="47"/>
      <c r="D86" s="41"/>
      <c r="E86" s="63"/>
      <c r="F86" s="41"/>
      <c r="G86" s="63"/>
      <c r="H86" s="41"/>
      <c r="I86" s="63"/>
      <c r="J86" s="41"/>
    </row>
    <row r="87" spans="1:16" s="39" customFormat="1" ht="20.25" customHeight="1">
      <c r="A87" s="216" t="s">
        <v>207</v>
      </c>
      <c r="B87" s="177"/>
      <c r="C87" s="47"/>
      <c r="D87" s="41"/>
      <c r="E87" s="63"/>
      <c r="F87" s="41"/>
      <c r="G87" s="63"/>
      <c r="H87" s="41"/>
      <c r="I87" s="63"/>
      <c r="J87" s="41"/>
    </row>
    <row r="88" spans="1:16" s="39" customFormat="1" ht="20.25" customHeight="1">
      <c r="A88" s="175" t="s">
        <v>152</v>
      </c>
      <c r="B88" s="177"/>
      <c r="C88" s="47"/>
      <c r="D88" s="14">
        <f>D85+D68+D50</f>
        <v>-203530520</v>
      </c>
      <c r="E88" s="14"/>
      <c r="F88" s="14">
        <f>F85+F68+F50</f>
        <v>626072129</v>
      </c>
      <c r="G88" s="14"/>
      <c r="H88" s="14">
        <f>H85+H68+H50</f>
        <v>-237978145</v>
      </c>
      <c r="I88" s="14"/>
      <c r="J88" s="14">
        <f>J85+J68+J50</f>
        <v>290818827</v>
      </c>
      <c r="L88" s="4"/>
      <c r="M88" s="4"/>
      <c r="N88" s="4"/>
      <c r="O88" s="4"/>
    </row>
    <row r="89" spans="1:16" ht="20.25" customHeight="1">
      <c r="A89" s="175" t="s">
        <v>159</v>
      </c>
      <c r="B89" s="164"/>
      <c r="C89" s="7"/>
      <c r="D89" s="404">
        <v>2833861</v>
      </c>
      <c r="E89" s="14"/>
      <c r="F89" s="40">
        <v>-3816508</v>
      </c>
      <c r="G89" s="99"/>
      <c r="H89" s="214">
        <v>0</v>
      </c>
      <c r="I89" s="99"/>
      <c r="J89" s="214">
        <v>0</v>
      </c>
      <c r="L89" s="39"/>
      <c r="M89" s="39"/>
      <c r="N89" s="39"/>
      <c r="O89" s="39"/>
    </row>
    <row r="90" spans="1:16" ht="20.25" customHeight="1">
      <c r="A90" s="178" t="s">
        <v>207</v>
      </c>
      <c r="B90" s="164"/>
      <c r="C90" s="7"/>
      <c r="D90" s="41">
        <f>D88+D89</f>
        <v>-200696659</v>
      </c>
      <c r="E90" s="41"/>
      <c r="F90" s="41">
        <f>F88+F89</f>
        <v>622255621</v>
      </c>
      <c r="G90" s="213"/>
      <c r="H90" s="41">
        <f>H88+H89</f>
        <v>-237978145</v>
      </c>
      <c r="I90" s="213"/>
      <c r="J90" s="41">
        <f>J88+J89</f>
        <v>290818827</v>
      </c>
      <c r="L90" s="39"/>
      <c r="M90" s="39"/>
    </row>
    <row r="91" spans="1:16" ht="20.25" customHeight="1">
      <c r="A91" s="175" t="s">
        <v>80</v>
      </c>
      <c r="B91" s="164"/>
      <c r="C91" s="7"/>
      <c r="D91" s="374">
        <f>'bs-6-8'!F9</f>
        <v>1766783801</v>
      </c>
      <c r="E91" s="14"/>
      <c r="F91" s="14">
        <v>1144528180</v>
      </c>
      <c r="G91" s="14"/>
      <c r="H91" s="370">
        <f>'bs-6-8'!J9</f>
        <v>479388111</v>
      </c>
      <c r="I91" s="14"/>
      <c r="J91" s="14">
        <v>188569284</v>
      </c>
      <c r="L91" s="39"/>
      <c r="M91" s="39"/>
      <c r="N91" s="39"/>
      <c r="O91" s="39"/>
    </row>
    <row r="92" spans="1:16" s="39" customFormat="1" ht="20.25" customHeight="1" thickBot="1">
      <c r="A92" s="178" t="s">
        <v>108</v>
      </c>
      <c r="B92" s="179"/>
      <c r="C92" s="47"/>
      <c r="D92" s="129">
        <f>SUM(D90:D91)</f>
        <v>1566087142</v>
      </c>
      <c r="E92" s="63"/>
      <c r="F92" s="129">
        <f>SUM(F90:F91)</f>
        <v>1766783801</v>
      </c>
      <c r="G92" s="130"/>
      <c r="H92" s="129">
        <f>SUM(H90:H91)</f>
        <v>241409966</v>
      </c>
      <c r="I92" s="130"/>
      <c r="J92" s="129">
        <f>SUM(J90:J91)</f>
        <v>479388111</v>
      </c>
      <c r="L92" s="4"/>
      <c r="M92" s="4"/>
      <c r="N92" s="403">
        <f>D92-'bs-6-8'!D9</f>
        <v>0</v>
      </c>
      <c r="O92" s="98">
        <f>H92-'bs-6-8'!H9</f>
        <v>0</v>
      </c>
    </row>
    <row r="93" spans="1:16" s="50" customFormat="1" ht="15" customHeight="1" thickTop="1">
      <c r="B93" s="181"/>
      <c r="C93" s="126"/>
      <c r="D93" s="15"/>
      <c r="F93" s="131"/>
      <c r="H93" s="131"/>
      <c r="I93" s="102"/>
      <c r="J93" s="131"/>
      <c r="K93" s="102"/>
      <c r="M93" s="102"/>
      <c r="O93" s="102"/>
      <c r="P93" s="51"/>
    </row>
    <row r="94" spans="1:16" s="50" customFormat="1" ht="22.5" hidden="1" customHeight="1">
      <c r="A94" s="422" t="s">
        <v>70</v>
      </c>
      <c r="B94" s="422"/>
      <c r="C94" s="126"/>
      <c r="D94" s="5"/>
      <c r="E94" s="126"/>
      <c r="F94" s="127"/>
      <c r="G94" s="127"/>
      <c r="H94" s="127"/>
      <c r="I94" s="51"/>
      <c r="J94" s="127"/>
      <c r="K94" s="51"/>
    </row>
    <row r="95" spans="1:16" s="50" customFormat="1" ht="22.5" hidden="1" customHeight="1">
      <c r="A95" s="182" t="s">
        <v>95</v>
      </c>
      <c r="B95" s="181"/>
      <c r="C95" s="126"/>
      <c r="D95" s="102" t="s">
        <v>85</v>
      </c>
      <c r="E95" s="131"/>
      <c r="F95" s="102" t="s">
        <v>85</v>
      </c>
      <c r="G95" s="132"/>
      <c r="H95" s="102" t="s">
        <v>85</v>
      </c>
      <c r="I95" s="132"/>
      <c r="J95" s="102" t="s">
        <v>85</v>
      </c>
      <c r="K95" s="132"/>
    </row>
    <row r="96" spans="1:16" s="50" customFormat="1" ht="20.100000000000001" customHeight="1">
      <c r="A96" s="180" t="s">
        <v>41</v>
      </c>
      <c r="B96" s="181"/>
      <c r="C96" s="126"/>
      <c r="D96" s="102"/>
      <c r="E96" s="131"/>
      <c r="F96" s="102"/>
      <c r="G96" s="132"/>
      <c r="H96" s="102"/>
      <c r="I96" s="132"/>
      <c r="J96" s="102"/>
      <c r="K96" s="132"/>
    </row>
    <row r="97" spans="1:12" s="50" customFormat="1" ht="20.100000000000001" customHeight="1">
      <c r="A97" s="230" t="s">
        <v>171</v>
      </c>
      <c r="C97" s="126"/>
      <c r="D97" s="14"/>
      <c r="E97" s="131"/>
      <c r="F97" s="132"/>
      <c r="G97" s="132"/>
      <c r="H97" s="132"/>
      <c r="I97" s="132"/>
      <c r="J97" s="132"/>
      <c r="K97" s="132"/>
    </row>
    <row r="98" spans="1:12" s="50" customFormat="1" ht="20.100000000000001" customHeight="1">
      <c r="A98" s="230" t="s">
        <v>244</v>
      </c>
      <c r="C98" s="126"/>
      <c r="D98" s="374">
        <v>112350</v>
      </c>
      <c r="E98" s="370"/>
      <c r="F98" s="370">
        <v>-112350</v>
      </c>
      <c r="G98" s="370"/>
      <c r="H98" s="374">
        <v>5709000</v>
      </c>
      <c r="I98" s="132"/>
      <c r="J98" s="132">
        <v>-1714000</v>
      </c>
      <c r="K98" s="132"/>
    </row>
    <row r="99" spans="1:12" s="50" customFormat="1" ht="20.100000000000001" customHeight="1">
      <c r="A99" s="230" t="s">
        <v>172</v>
      </c>
      <c r="C99" s="126"/>
      <c r="D99" s="14"/>
      <c r="E99" s="131"/>
      <c r="F99" s="370"/>
      <c r="G99" s="132"/>
      <c r="H99" s="132"/>
      <c r="I99" s="132"/>
      <c r="J99" s="132"/>
      <c r="K99" s="132"/>
    </row>
    <row r="100" spans="1:12" s="50" customFormat="1" ht="20.100000000000001" customHeight="1">
      <c r="A100" s="166" t="s">
        <v>233</v>
      </c>
      <c r="C100" s="126"/>
      <c r="D100" s="374">
        <v>-5499340</v>
      </c>
      <c r="E100" s="370"/>
      <c r="F100" s="370">
        <v>5499340</v>
      </c>
      <c r="G100" s="370"/>
      <c r="H100" s="370">
        <v>-5499340</v>
      </c>
      <c r="I100" s="370"/>
      <c r="J100" s="202">
        <v>5499340</v>
      </c>
      <c r="K100" s="132"/>
    </row>
    <row r="101" spans="1:12" s="50" customFormat="1" ht="20.100000000000001" customHeight="1">
      <c r="A101" s="230" t="s">
        <v>216</v>
      </c>
      <c r="C101" s="126"/>
      <c r="D101" s="14"/>
      <c r="E101" s="131"/>
      <c r="F101" s="370"/>
      <c r="G101" s="132"/>
      <c r="H101" s="132"/>
      <c r="I101" s="132"/>
      <c r="J101" s="132"/>
      <c r="K101" s="132"/>
    </row>
    <row r="102" spans="1:12" s="50" customFormat="1" ht="20.100000000000001" customHeight="1">
      <c r="A102" s="166" t="s">
        <v>233</v>
      </c>
      <c r="C102" s="46"/>
      <c r="D102" s="374">
        <v>194503837</v>
      </c>
      <c r="E102" s="131"/>
      <c r="F102" s="370">
        <v>-130971538</v>
      </c>
      <c r="G102" s="132"/>
      <c r="H102" s="370">
        <v>92808510</v>
      </c>
      <c r="I102" s="132"/>
      <c r="J102" s="132">
        <v>-65224949</v>
      </c>
      <c r="L102" s="131"/>
    </row>
    <row r="103" spans="1:12" s="50" customFormat="1" ht="20.100000000000001" customHeight="1">
      <c r="A103" s="230" t="s">
        <v>234</v>
      </c>
      <c r="C103" s="126"/>
      <c r="D103" s="4">
        <v>10798073.660000002</v>
      </c>
      <c r="E103" s="131"/>
      <c r="F103" s="370">
        <v>18596652</v>
      </c>
      <c r="G103" s="132"/>
      <c r="H103" s="370">
        <v>14519542</v>
      </c>
      <c r="I103" s="132"/>
      <c r="J103" s="132">
        <v>6264820</v>
      </c>
      <c r="K103" s="132"/>
      <c r="L103" s="131"/>
    </row>
    <row r="104" spans="1:12" s="287" customFormat="1" ht="19.7" customHeight="1">
      <c r="A104" s="230" t="s">
        <v>217</v>
      </c>
      <c r="D104" s="374">
        <v>6701543</v>
      </c>
      <c r="F104" s="370">
        <v>13956301</v>
      </c>
      <c r="G104" s="289"/>
      <c r="H104" s="373">
        <v>6395343</v>
      </c>
      <c r="J104" s="288">
        <v>12587975</v>
      </c>
    </row>
    <row r="105" spans="1:12" ht="19.7" customHeight="1"/>
  </sheetData>
  <mergeCells count="12">
    <mergeCell ref="A94:B94"/>
    <mergeCell ref="D6:J6"/>
    <mergeCell ref="A17:B17"/>
    <mergeCell ref="D54:F54"/>
    <mergeCell ref="H54:J54"/>
    <mergeCell ref="D55:F55"/>
    <mergeCell ref="H55:J55"/>
    <mergeCell ref="D3:F3"/>
    <mergeCell ref="H3:J3"/>
    <mergeCell ref="D4:F4"/>
    <mergeCell ref="H4:J4"/>
    <mergeCell ref="D57:J57"/>
  </mergeCells>
  <printOptions horizontalCentered="1"/>
  <pageMargins left="0.8" right="0.8" top="0.48" bottom="0.4" header="0.4" footer="0.5"/>
  <pageSetup paperSize="9" scale="74" firstPageNumber="15" fitToHeight="0" orientation="portrait" useFirstPageNumber="1" r:id="rId1"/>
  <headerFooter>
    <oddHeader>&amp;C</oddHeader>
    <oddFooter xml:space="preserve">&amp;L&amp;"Angsana New,Regular"&amp;15หมายเหตุประกอบงบการเงินเป็นส่วนหนึ่งของงบการเงินนี้&amp;C&amp;"Angsana New,Regular"&amp;15&amp;P&amp;R&amp;"Angsana New,Italic"&amp;15 </oddFooter>
  </headerFooter>
  <rowBreaks count="1" manualBreakCount="1">
    <brk id="51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9A1FF5-FEF0-4E03-944B-E2DDCA52C2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FDFA7E-7614-4D23-A994-0272DEEDB2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bs-6-8</vt:lpstr>
      <vt:lpstr>plt 9-10</vt:lpstr>
      <vt:lpstr>cet-Conso 11-12</vt:lpstr>
      <vt:lpstr>cet-company13-14</vt:lpstr>
      <vt:lpstr>CF 15-16</vt:lpstr>
      <vt:lpstr>'bs-6-8'!Print_Area</vt:lpstr>
      <vt:lpstr>'cet-company13-14'!Print_Area</vt:lpstr>
      <vt:lpstr>'CF 15-16'!Print_Area</vt:lpstr>
      <vt:lpstr>'plt 9-10'!Print_Area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2025-02-21T08:48:11Z</cp:lastPrinted>
  <dcterms:created xsi:type="dcterms:W3CDTF">2001-05-31T06:38:56Z</dcterms:created>
  <dcterms:modified xsi:type="dcterms:W3CDTF">2025-02-24T07:20:18Z</dcterms:modified>
</cp:coreProperties>
</file>